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STUDIO_IN CORSO\SITO\Articoli\ARCHIMEDE\"/>
    </mc:Choice>
  </mc:AlternateContent>
  <xr:revisionPtr revIDLastSave="0" documentId="13_ncr:1_{302831F7-07E9-449C-B4F6-5E4EAE2E191D}" xr6:coauthVersionLast="43" xr6:coauthVersionMax="43" xr10:uidLastSave="{00000000-0000-0000-0000-000000000000}"/>
  <bookViews>
    <workbookView xWindow="-110" yWindow="-110" windowWidth="19420" windowHeight="10420" xr2:uid="{F6B0D90B-0262-4E0C-BFB8-DADE2079D3B2}"/>
  </bookViews>
  <sheets>
    <sheet name="Foglio1" sheetId="1" r:id="rId1"/>
  </sheets>
  <definedNames>
    <definedName name="_xlnm.Print_Area" localSheetId="0">Foglio1!$B$2:$S$59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1" l="1"/>
  <c r="L26" i="1"/>
  <c r="Q45" i="1" l="1"/>
  <c r="Q46" i="1" s="1"/>
  <c r="L45" i="1"/>
  <c r="L46" i="1" s="1"/>
  <c r="D51" i="1"/>
  <c r="D50" i="1"/>
  <c r="D49" i="1"/>
  <c r="D48" i="1"/>
  <c r="D44" i="1"/>
  <c r="D42" i="1"/>
  <c r="G45" i="1"/>
  <c r="G46" i="1" s="1"/>
  <c r="F56" i="1"/>
  <c r="I56" i="1" s="1"/>
  <c r="Q20" i="1" s="1"/>
  <c r="F57" i="1"/>
  <c r="F44" i="1"/>
  <c r="F46" i="1"/>
  <c r="F43" i="1"/>
  <c r="F42" i="1"/>
  <c r="F20" i="1"/>
  <c r="F22" i="1" s="1"/>
  <c r="H54" i="1" s="1"/>
  <c r="K31" i="1" s="1"/>
  <c r="C22" i="1"/>
  <c r="M14" i="1" s="1"/>
  <c r="Q47" i="1" s="1"/>
  <c r="C19" i="1"/>
  <c r="M4" i="1"/>
  <c r="Q42" i="1" s="1"/>
  <c r="L4" i="1"/>
  <c r="L42" i="1" s="1"/>
  <c r="K11" i="1"/>
  <c r="L11" i="1" s="1"/>
  <c r="M11" i="1" s="1"/>
  <c r="Q51" i="1" s="1"/>
  <c r="K10" i="1"/>
  <c r="L10" i="1" s="1"/>
  <c r="M10" i="1" s="1"/>
  <c r="Q50" i="1" s="1"/>
  <c r="K9" i="1"/>
  <c r="L9" i="1" s="1"/>
  <c r="M9" i="1" s="1"/>
  <c r="Q49" i="1" s="1"/>
  <c r="K4" i="1"/>
  <c r="K5" i="1" s="1"/>
  <c r="G43" i="1" s="1"/>
  <c r="P19" i="1"/>
  <c r="P22" i="1" s="1"/>
  <c r="P16" i="1"/>
  <c r="P17" i="1" s="1"/>
  <c r="F8" i="1"/>
  <c r="P6" i="1" s="1"/>
  <c r="P11" i="1" s="1"/>
  <c r="M45" i="1" l="1"/>
  <c r="L30" i="1" s="1"/>
  <c r="R45" i="1"/>
  <c r="M30" i="1" s="1"/>
  <c r="I43" i="1"/>
  <c r="Q8" i="1" s="1"/>
  <c r="H45" i="1"/>
  <c r="L49" i="1"/>
  <c r="K56" i="1"/>
  <c r="L51" i="1"/>
  <c r="L50" i="1"/>
  <c r="I46" i="1"/>
  <c r="Q9" i="1" s="1"/>
  <c r="G42" i="1"/>
  <c r="H42" i="1" s="1"/>
  <c r="K24" i="1" s="1"/>
  <c r="G44" i="1"/>
  <c r="H44" i="1" s="1"/>
  <c r="G49" i="1"/>
  <c r="H49" i="1" s="1"/>
  <c r="I49" i="1" s="1"/>
  <c r="G51" i="1"/>
  <c r="H51" i="1" s="1"/>
  <c r="I51" i="1" s="1"/>
  <c r="K51" i="1" s="1"/>
  <c r="G50" i="1"/>
  <c r="H50" i="1" s="1"/>
  <c r="I50" i="1" s="1"/>
  <c r="K50" i="1" s="1"/>
  <c r="F54" i="1"/>
  <c r="F55" i="1"/>
  <c r="K14" i="1"/>
  <c r="G47" i="1" s="1"/>
  <c r="I47" i="1" s="1"/>
  <c r="L14" i="1"/>
  <c r="L47" i="1" s="1"/>
  <c r="G20" i="1"/>
  <c r="H22" i="1" s="1"/>
  <c r="K16" i="1" s="1"/>
  <c r="G52" i="1" s="1"/>
  <c r="H52" i="1" s="1"/>
  <c r="I52" i="1" s="1"/>
  <c r="K52" i="1" s="1"/>
  <c r="F41" i="1"/>
  <c r="F23" i="1"/>
  <c r="K7" i="1"/>
  <c r="G48" i="1" s="1"/>
  <c r="H48" i="1" s="1"/>
  <c r="I48" i="1" s="1"/>
  <c r="K48" i="1" s="1"/>
  <c r="M7" i="1"/>
  <c r="Q48" i="1" s="1"/>
  <c r="K12" i="1"/>
  <c r="L12" i="1"/>
  <c r="L5" i="1"/>
  <c r="L6" i="1" s="1"/>
  <c r="M5" i="1"/>
  <c r="M6" i="1" s="1"/>
  <c r="L7" i="1"/>
  <c r="L48" i="1" s="1"/>
  <c r="M12" i="1"/>
  <c r="K6" i="1"/>
  <c r="P23" i="1"/>
  <c r="I55" i="1" l="1"/>
  <c r="K55" i="1" s="1"/>
  <c r="N55" i="1" s="1"/>
  <c r="K26" i="1"/>
  <c r="I54" i="1"/>
  <c r="Q16" i="1" s="1"/>
  <c r="K25" i="1"/>
  <c r="I44" i="1"/>
  <c r="K44" i="1" s="1"/>
  <c r="I45" i="1"/>
  <c r="K45" i="1" s="1"/>
  <c r="K30" i="1"/>
  <c r="N45" i="1"/>
  <c r="P45" i="1" s="1"/>
  <c r="S45" i="1" s="1"/>
  <c r="K43" i="1"/>
  <c r="K49" i="1"/>
  <c r="M48" i="1"/>
  <c r="N48" i="1" s="1"/>
  <c r="P48" i="1" s="1"/>
  <c r="M49" i="1"/>
  <c r="F24" i="1"/>
  <c r="M54" i="1"/>
  <c r="L31" i="1" s="1"/>
  <c r="K46" i="1"/>
  <c r="N46" i="1" s="1"/>
  <c r="L43" i="1"/>
  <c r="M50" i="1"/>
  <c r="N50" i="1" s="1"/>
  <c r="M51" i="1"/>
  <c r="N51" i="1" s="1"/>
  <c r="Q10" i="1"/>
  <c r="K47" i="1"/>
  <c r="N47" i="1" s="1"/>
  <c r="F58" i="1"/>
  <c r="L8" i="1"/>
  <c r="L13" i="1" s="1"/>
  <c r="L15" i="1" s="1"/>
  <c r="G22" i="1"/>
  <c r="H23" i="1" s="1"/>
  <c r="L16" i="1" s="1"/>
  <c r="L52" i="1" s="1"/>
  <c r="M52" i="1" s="1"/>
  <c r="M8" i="1"/>
  <c r="M13" i="1" s="1"/>
  <c r="M15" i="1" s="1"/>
  <c r="K54" i="1" l="1"/>
  <c r="N54" i="1" s="1"/>
  <c r="K27" i="1"/>
  <c r="Q19" i="1"/>
  <c r="Q14" i="1"/>
  <c r="N49" i="1"/>
  <c r="R49" i="1" s="1"/>
  <c r="N43" i="1"/>
  <c r="R8" i="1" s="1"/>
  <c r="P46" i="1"/>
  <c r="S46" i="1" s="1"/>
  <c r="S9" i="1" s="1"/>
  <c r="R9" i="1"/>
  <c r="P55" i="1"/>
  <c r="S55" i="1" s="1"/>
  <c r="S19" i="1" s="1"/>
  <c r="R19" i="1"/>
  <c r="P47" i="1"/>
  <c r="S47" i="1" s="1"/>
  <c r="S10" i="1" s="1"/>
  <c r="R10" i="1"/>
  <c r="R48" i="1"/>
  <c r="S48" i="1" s="1"/>
  <c r="F25" i="1"/>
  <c r="R54" i="1"/>
  <c r="M31" i="1" s="1"/>
  <c r="N52" i="1"/>
  <c r="P52" i="1" s="1"/>
  <c r="L44" i="1"/>
  <c r="P50" i="1"/>
  <c r="R50" i="1"/>
  <c r="P51" i="1"/>
  <c r="R51" i="1"/>
  <c r="I42" i="1"/>
  <c r="M42" i="1" s="1"/>
  <c r="L24" i="1" s="1"/>
  <c r="L27" i="1" s="1"/>
  <c r="G23" i="1"/>
  <c r="P49" i="1" l="1"/>
  <c r="Q43" i="1"/>
  <c r="Q44" i="1" s="1"/>
  <c r="P43" i="1"/>
  <c r="P54" i="1"/>
  <c r="S54" i="1" s="1"/>
  <c r="S16" i="1" s="1"/>
  <c r="R16" i="1"/>
  <c r="S51" i="1"/>
  <c r="S50" i="1"/>
  <c r="M44" i="1"/>
  <c r="N44" i="1" s="1"/>
  <c r="R14" i="1" s="1"/>
  <c r="S49" i="1"/>
  <c r="Q7" i="1"/>
  <c r="K42" i="1"/>
  <c r="N42" i="1" s="1"/>
  <c r="R7" i="1" s="1"/>
  <c r="G24" i="1"/>
  <c r="H24" i="1"/>
  <c r="M16" i="1" s="1"/>
  <c r="L17" i="1"/>
  <c r="S43" i="1" l="1"/>
  <c r="S8" i="1" s="1"/>
  <c r="P44" i="1"/>
  <c r="R44" i="1"/>
  <c r="M17" i="1"/>
  <c r="M18" i="1" s="1"/>
  <c r="Q52" i="1"/>
  <c r="R42" i="1"/>
  <c r="M24" i="1" s="1"/>
  <c r="M27" i="1" s="1"/>
  <c r="P42" i="1"/>
  <c r="L18" i="1"/>
  <c r="L53" i="1" s="1"/>
  <c r="G25" i="1"/>
  <c r="H25" i="1"/>
  <c r="K8" i="1"/>
  <c r="S44" i="1" l="1"/>
  <c r="S14" i="1" s="1"/>
  <c r="M19" i="1"/>
  <c r="Q53" i="1"/>
  <c r="S42" i="1"/>
  <c r="S7" i="1" s="1"/>
  <c r="L57" i="1"/>
  <c r="L19" i="1"/>
  <c r="R52" i="1"/>
  <c r="S52" i="1" s="1"/>
  <c r="K13" i="1"/>
  <c r="K15" i="1" s="1"/>
  <c r="K17" i="1" s="1"/>
  <c r="L60" i="1" l="1"/>
  <c r="L58" i="1"/>
  <c r="Q57" i="1"/>
  <c r="Q58" i="1" s="1"/>
  <c r="K18" i="1"/>
  <c r="G53" i="1" s="1"/>
  <c r="H53" i="1" l="1"/>
  <c r="K29" i="1" s="1"/>
  <c r="K32" i="1" s="1"/>
  <c r="K33" i="1" s="1"/>
  <c r="L22" i="1" s="1"/>
  <c r="G57" i="1"/>
  <c r="I57" i="1" s="1"/>
  <c r="K19" i="1"/>
  <c r="G60" i="1" l="1"/>
  <c r="Q21" i="1"/>
  <c r="Q22" i="1" s="1"/>
  <c r="K57" i="1"/>
  <c r="I53" i="1"/>
  <c r="Q15" i="1" s="1"/>
  <c r="Q17" i="1" s="1"/>
  <c r="H41" i="1"/>
  <c r="G58" i="1"/>
  <c r="Q23" i="1" l="1"/>
  <c r="K53" i="1"/>
  <c r="M53" i="1"/>
  <c r="L29" i="1" s="1"/>
  <c r="L32" i="1" s="1"/>
  <c r="L33" i="1" s="1"/>
  <c r="M22" i="1" s="1"/>
  <c r="M57" i="1"/>
  <c r="M56" i="1" s="1"/>
  <c r="I41" i="1"/>
  <c r="K41" i="1" s="1"/>
  <c r="H58" i="1"/>
  <c r="N53" i="1" l="1"/>
  <c r="R15" i="1" s="1"/>
  <c r="R17" i="1" s="1"/>
  <c r="K58" i="1"/>
  <c r="N56" i="1"/>
  <c r="M41" i="1"/>
  <c r="M58" i="1" s="1"/>
  <c r="N57" i="1"/>
  <c r="I58" i="1"/>
  <c r="Q6" i="1"/>
  <c r="Q11" i="1" s="1"/>
  <c r="R53" i="1" l="1"/>
  <c r="M29" i="1" s="1"/>
  <c r="M32" i="1" s="1"/>
  <c r="M33" i="1" s="1"/>
  <c r="P53" i="1"/>
  <c r="P57" i="1"/>
  <c r="R57" i="1" s="1"/>
  <c r="R56" i="1" s="1"/>
  <c r="R21" i="1"/>
  <c r="P56" i="1"/>
  <c r="R20" i="1"/>
  <c r="N41" i="1"/>
  <c r="R6" i="1" s="1"/>
  <c r="R11" i="1" s="1"/>
  <c r="S53" i="1" l="1"/>
  <c r="S15" i="1" s="1"/>
  <c r="S17" i="1" s="1"/>
  <c r="R41" i="1"/>
  <c r="R58" i="1" s="1"/>
  <c r="R22" i="1"/>
  <c r="R23" i="1" s="1"/>
  <c r="N58" i="1"/>
  <c r="P41" i="1"/>
  <c r="S56" i="1"/>
  <c r="S20" i="1" s="1"/>
  <c r="S57" i="1"/>
  <c r="S21" i="1" s="1"/>
  <c r="S22" i="1" l="1"/>
  <c r="S23" i="1" s="1"/>
  <c r="S41" i="1"/>
  <c r="P58" i="1"/>
  <c r="S58" i="1" l="1"/>
  <c r="S6" i="1"/>
  <c r="S11" i="1" s="1"/>
</calcChain>
</file>

<file path=xl/sharedStrings.xml><?xml version="1.0" encoding="utf-8"?>
<sst xmlns="http://schemas.openxmlformats.org/spreadsheetml/2006/main" count="128" uniqueCount="98">
  <si>
    <t>Conto economico</t>
  </si>
  <si>
    <t>Ricavi</t>
  </si>
  <si>
    <t>Costo del venduto</t>
  </si>
  <si>
    <t>Costi variabili commerciali</t>
  </si>
  <si>
    <t>Costi fissi industriali</t>
  </si>
  <si>
    <t>Costi fissi commerciali</t>
  </si>
  <si>
    <t>Spese generali e amministrative</t>
  </si>
  <si>
    <t>Margine di contribuzione</t>
  </si>
  <si>
    <t>EBITDA</t>
  </si>
  <si>
    <t>Totale costi fissi</t>
  </si>
  <si>
    <t>Ammortamenti</t>
  </si>
  <si>
    <t>EBIT</t>
  </si>
  <si>
    <t>Gestione finanziaria</t>
  </si>
  <si>
    <t xml:space="preserve">Imposte </t>
  </si>
  <si>
    <t>Utile dopo le imposte</t>
  </si>
  <si>
    <t>Risultato prima delle imposte</t>
  </si>
  <si>
    <t>Anno 2020</t>
  </si>
  <si>
    <t>Anno 2021</t>
  </si>
  <si>
    <t>Anno 2022</t>
  </si>
  <si>
    <t>Attivo</t>
  </si>
  <si>
    <t>Cassa e banche attive</t>
  </si>
  <si>
    <t>Crediti verso clienti</t>
  </si>
  <si>
    <t>Immobilizzazioni materiali</t>
  </si>
  <si>
    <t>Passivo e patrimonio netto</t>
  </si>
  <si>
    <t>Finanziamenti bancari</t>
  </si>
  <si>
    <t>Fornitori</t>
  </si>
  <si>
    <t>Capitale sociale</t>
  </si>
  <si>
    <t>Riserve</t>
  </si>
  <si>
    <t>Utile esercizio</t>
  </si>
  <si>
    <t xml:space="preserve">Passivo </t>
  </si>
  <si>
    <t>Patrimonio netto</t>
  </si>
  <si>
    <t>Struttura finanziaria iniziale</t>
  </si>
  <si>
    <t>Apporto di capitale sociale</t>
  </si>
  <si>
    <t>Accensione finanziamento</t>
  </si>
  <si>
    <t>Vendite primo anno</t>
  </si>
  <si>
    <t>Incidenza costo venduto</t>
  </si>
  <si>
    <t>Spese generali e amm.ve</t>
  </si>
  <si>
    <t>Vendite secondo anno</t>
  </si>
  <si>
    <t>Vendite terzo anno</t>
  </si>
  <si>
    <t>Previsioni economiche</t>
  </si>
  <si>
    <t>Oneri finanziari</t>
  </si>
  <si>
    <t>Variabili finanziarie</t>
  </si>
  <si>
    <t>Giorni medi incasso crediti</t>
  </si>
  <si>
    <t>Giorni medi rotazione magazzino</t>
  </si>
  <si>
    <t>Struttura finanziamento</t>
  </si>
  <si>
    <t xml:space="preserve">Stato patrimoniale </t>
  </si>
  <si>
    <t>Piano investimenti</t>
  </si>
  <si>
    <t xml:space="preserve">Incremento annuo costi fissi </t>
  </si>
  <si>
    <t xml:space="preserve"> </t>
  </si>
  <si>
    <t>Vita utile cespiti, anni</t>
  </si>
  <si>
    <t>Aliquota ammortamento</t>
  </si>
  <si>
    <t>Saldo</t>
  </si>
  <si>
    <t>Movimenti</t>
  </si>
  <si>
    <t>Interessi</t>
  </si>
  <si>
    <t>1.1.2020</t>
  </si>
  <si>
    <t>31.12.2020</t>
  </si>
  <si>
    <t>31.12.2021</t>
  </si>
  <si>
    <t>31.12.2022</t>
  </si>
  <si>
    <t>31.12.2023</t>
  </si>
  <si>
    <t>Durata 5 anni, quote capitale costanti erogazione 1.1.20; rimborso 31.12.23</t>
  </si>
  <si>
    <t>Rimanenze</t>
  </si>
  <si>
    <t>Aliquota imposta</t>
  </si>
  <si>
    <t>Fornitori costo venduto</t>
  </si>
  <si>
    <t>Fornitori costi variabili commerciali</t>
  </si>
  <si>
    <t>Fornitori costi fissi ind.li</t>
  </si>
  <si>
    <t>Fornitori costi fissi comm.li</t>
  </si>
  <si>
    <t>Fornitori spese generali e amm.ve</t>
  </si>
  <si>
    <t>Giorni medi pagamento altri costi</t>
  </si>
  <si>
    <t>Giorni medi pagamento c. venduto</t>
  </si>
  <si>
    <t>Fornitori immobilizzazioni</t>
  </si>
  <si>
    <t>Capitalizz. Immob.i materiali</t>
  </si>
  <si>
    <t>Imposte</t>
  </si>
  <si>
    <t>F. amm.to imm. Materiali</t>
  </si>
  <si>
    <t>Erario per imposte</t>
  </si>
  <si>
    <t>VARIABILI</t>
  </si>
  <si>
    <t>REPORT</t>
  </si>
  <si>
    <t>MOTORE "CURTEX"</t>
  </si>
  <si>
    <t xml:space="preserve">Casella calcolo risultato </t>
  </si>
  <si>
    <t xml:space="preserve">Casella capitalizzaione </t>
  </si>
  <si>
    <t>costo immobilizazzioni</t>
  </si>
  <si>
    <t>La variazione rimanenze</t>
  </si>
  <si>
    <t>si somma al consumo teorico</t>
  </si>
  <si>
    <t>Piano sviluppo finanziario</t>
  </si>
  <si>
    <t>Cash flow</t>
  </si>
  <si>
    <t>Cassa e banche iniziali</t>
  </si>
  <si>
    <t>Incassi</t>
  </si>
  <si>
    <t>Incassi da clienti</t>
  </si>
  <si>
    <t>Pagamenti</t>
  </si>
  <si>
    <t>Rimborso finanziamenti</t>
  </si>
  <si>
    <t>Cassa e banche finali</t>
  </si>
  <si>
    <t xml:space="preserve">Incasso finanziamenti </t>
  </si>
  <si>
    <t>Dotazione capitale proprio</t>
  </si>
  <si>
    <t>Pagamento costi esercizio</t>
  </si>
  <si>
    <t>Investimenti</t>
  </si>
  <si>
    <t>Saldi iniziali</t>
  </si>
  <si>
    <t>CE</t>
  </si>
  <si>
    <t>Cassa</t>
  </si>
  <si>
    <t>Saldi finali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</si>
</sst>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3FFFF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 style="slantDashDot">
        <color auto="1"/>
      </right>
      <top/>
      <bottom style="slantDashDot">
        <color auto="1"/>
      </bottom>
      <diagonal/>
    </border>
    <border>
      <left style="slantDashDot">
        <color auto="1"/>
      </left>
      <right style="slantDashDot">
        <color auto="1"/>
      </right>
      <top/>
      <bottom/>
      <diagonal/>
    </border>
    <border>
      <left style="mediumDashed">
        <color theme="5"/>
      </left>
      <right style="mediumDashed">
        <color theme="5"/>
      </right>
      <top style="mediumDashed">
        <color theme="5"/>
      </top>
      <bottom/>
      <diagonal/>
    </border>
    <border>
      <left style="mediumDashed">
        <color theme="5"/>
      </left>
      <right style="mediumDashed">
        <color theme="5"/>
      </right>
      <top/>
      <bottom style="mediumDashed">
        <color theme="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3" fontId="3" fillId="0" borderId="0" xfId="0" applyNumberFormat="1" applyFont="1"/>
    <xf numFmtId="0" fontId="3" fillId="0" borderId="0" xfId="0" applyFont="1"/>
    <xf numFmtId="3" fontId="3" fillId="0" borderId="1" xfId="0" applyNumberFormat="1" applyFont="1" applyBorder="1"/>
    <xf numFmtId="3" fontId="3" fillId="0" borderId="2" xfId="0" applyNumberFormat="1" applyFont="1" applyBorder="1"/>
    <xf numFmtId="3" fontId="2" fillId="0" borderId="1" xfId="0" applyNumberFormat="1" applyFont="1" applyBorder="1"/>
    <xf numFmtId="9" fontId="3" fillId="0" borderId="0" xfId="1" applyFont="1"/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2" xfId="0" applyNumberFormat="1" applyFont="1" applyBorder="1"/>
    <xf numFmtId="3" fontId="5" fillId="0" borderId="1" xfId="0" applyNumberFormat="1" applyFont="1" applyBorder="1"/>
    <xf numFmtId="3" fontId="7" fillId="0" borderId="1" xfId="0" applyNumberFormat="1" applyFont="1" applyBorder="1"/>
    <xf numFmtId="3" fontId="5" fillId="0" borderId="4" xfId="0" applyNumberFormat="1" applyFont="1" applyBorder="1"/>
    <xf numFmtId="3" fontId="7" fillId="0" borderId="3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3" fillId="0" borderId="3" xfId="0" applyNumberFormat="1" applyFont="1" applyBorder="1"/>
    <xf numFmtId="3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3" fontId="3" fillId="0" borderId="7" xfId="0" applyNumberFormat="1" applyFont="1" applyBorder="1"/>
    <xf numFmtId="0" fontId="3" fillId="0" borderId="9" xfId="0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0" xfId="0" applyFont="1" applyBorder="1"/>
    <xf numFmtId="3" fontId="3" fillId="0" borderId="0" xfId="0" applyNumberFormat="1" applyFont="1" applyFill="1" applyBorder="1"/>
    <xf numFmtId="0" fontId="3" fillId="0" borderId="11" xfId="0" applyFont="1" applyBorder="1"/>
    <xf numFmtId="0" fontId="3" fillId="0" borderId="12" xfId="0" applyFont="1" applyBorder="1"/>
    <xf numFmtId="3" fontId="3" fillId="0" borderId="12" xfId="0" applyNumberFormat="1" applyFont="1" applyBorder="1"/>
    <xf numFmtId="0" fontId="3" fillId="0" borderId="13" xfId="0" applyFont="1" applyBorder="1"/>
    <xf numFmtId="3" fontId="3" fillId="3" borderId="14" xfId="0" applyNumberFormat="1" applyFont="1" applyFill="1" applyBorder="1"/>
    <xf numFmtId="3" fontId="3" fillId="3" borderId="16" xfId="0" applyNumberFormat="1" applyFont="1" applyFill="1" applyBorder="1"/>
    <xf numFmtId="3" fontId="3" fillId="2" borderId="17" xfId="0" applyNumberFormat="1" applyFont="1" applyFill="1" applyBorder="1"/>
    <xf numFmtId="3" fontId="3" fillId="2" borderId="18" xfId="0" applyNumberFormat="1" applyFont="1" applyFill="1" applyBorder="1"/>
    <xf numFmtId="3" fontId="3" fillId="0" borderId="6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/>
    <xf numFmtId="3" fontId="3" fillId="0" borderId="11" xfId="0" applyNumberFormat="1" applyFont="1" applyBorder="1"/>
    <xf numFmtId="3" fontId="3" fillId="0" borderId="13" xfId="0" applyNumberFormat="1" applyFont="1" applyBorder="1"/>
    <xf numFmtId="0" fontId="8" fillId="0" borderId="9" xfId="0" applyFont="1" applyBorder="1"/>
    <xf numFmtId="3" fontId="5" fillId="0" borderId="0" xfId="0" applyNumberFormat="1" applyFont="1" applyBorder="1"/>
    <xf numFmtId="0" fontId="8" fillId="0" borderId="0" xfId="0" applyFont="1" applyBorder="1"/>
    <xf numFmtId="0" fontId="6" fillId="0" borderId="0" xfId="0" applyFont="1" applyBorder="1"/>
    <xf numFmtId="0" fontId="3" fillId="0" borderId="9" xfId="0" applyFont="1" applyBorder="1" applyAlignment="1">
      <alignment horizontal="left"/>
    </xf>
    <xf numFmtId="164" fontId="3" fillId="0" borderId="0" xfId="1" applyNumberFormat="1" applyFont="1" applyBorder="1"/>
    <xf numFmtId="0" fontId="3" fillId="0" borderId="0" xfId="0" quotePrefix="1" applyFont="1" applyBorder="1"/>
    <xf numFmtId="0" fontId="3" fillId="0" borderId="12" xfId="0" quotePrefix="1" applyFont="1" applyBorder="1"/>
    <xf numFmtId="0" fontId="2" fillId="0" borderId="19" xfId="0" applyFont="1" applyBorder="1"/>
    <xf numFmtId="3" fontId="5" fillId="0" borderId="10" xfId="0" applyNumberFormat="1" applyFont="1" applyBorder="1"/>
    <xf numFmtId="0" fontId="5" fillId="0" borderId="0" xfId="0" applyFont="1" applyBorder="1"/>
    <xf numFmtId="0" fontId="5" fillId="0" borderId="10" xfId="0" applyFont="1" applyBorder="1"/>
    <xf numFmtId="0" fontId="2" fillId="0" borderId="9" xfId="0" applyFont="1" applyBorder="1"/>
    <xf numFmtId="3" fontId="5" fillId="0" borderId="20" xfId="0" applyNumberFormat="1" applyFont="1" applyBorder="1"/>
    <xf numFmtId="3" fontId="7" fillId="0" borderId="25" xfId="0" applyNumberFormat="1" applyFont="1" applyBorder="1"/>
    <xf numFmtId="3" fontId="4" fillId="0" borderId="0" xfId="0" applyNumberFormat="1" applyFont="1" applyBorder="1" applyProtection="1">
      <protection locked="0"/>
    </xf>
    <xf numFmtId="164" fontId="4" fillId="0" borderId="0" xfId="1" applyNumberFormat="1" applyFont="1" applyBorder="1" applyProtection="1">
      <protection locked="0"/>
    </xf>
    <xf numFmtId="0" fontId="4" fillId="0" borderId="0" xfId="0" applyFont="1" applyBorder="1" applyProtection="1">
      <protection locked="0"/>
    </xf>
    <xf numFmtId="3" fontId="3" fillId="0" borderId="12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3" fontId="3" fillId="2" borderId="18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10" fontId="9" fillId="4" borderId="10" xfId="1" applyNumberFormat="1" applyFont="1" applyFill="1" applyBorder="1" applyAlignment="1" applyProtection="1">
      <alignment horizontal="center"/>
      <protection locked="0"/>
    </xf>
    <xf numFmtId="3" fontId="3" fillId="4" borderId="4" xfId="0" applyNumberFormat="1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0" fontId="2" fillId="4" borderId="26" xfId="0" applyFont="1" applyFill="1" applyBorder="1"/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/>
    <xf numFmtId="0" fontId="3" fillId="4" borderId="30" xfId="0" applyFont="1" applyFill="1" applyBorder="1"/>
    <xf numFmtId="0" fontId="3" fillId="4" borderId="29" xfId="0" quotePrefix="1" applyFont="1" applyFill="1" applyBorder="1"/>
    <xf numFmtId="0" fontId="3" fillId="4" borderId="31" xfId="0" quotePrefix="1" applyFont="1" applyFill="1" applyBorder="1"/>
    <xf numFmtId="3" fontId="3" fillId="4" borderId="32" xfId="0" applyNumberFormat="1" applyFont="1" applyFill="1" applyBorder="1" applyAlignment="1">
      <alignment horizontal="center"/>
    </xf>
    <xf numFmtId="3" fontId="3" fillId="4" borderId="33" xfId="0" applyNumberFormat="1" applyFont="1" applyFill="1" applyBorder="1" applyAlignment="1">
      <alignment horizontal="center"/>
    </xf>
    <xf numFmtId="3" fontId="2" fillId="0" borderId="2" xfId="0" applyNumberFormat="1" applyFont="1" applyBorder="1"/>
    <xf numFmtId="0" fontId="2" fillId="0" borderId="34" xfId="0" applyFont="1" applyBorder="1"/>
    <xf numFmtId="3" fontId="2" fillId="0" borderId="35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35" xfId="0" applyFont="1" applyBorder="1" applyAlignment="1">
      <alignment horizontal="center"/>
    </xf>
    <xf numFmtId="0" fontId="2" fillId="0" borderId="35" xfId="0" quotePrefix="1" applyFont="1" applyBorder="1" applyAlignment="1">
      <alignment horizontal="center"/>
    </xf>
    <xf numFmtId="0" fontId="2" fillId="0" borderId="36" xfId="0" quotePrefix="1" applyFont="1" applyBorder="1" applyAlignment="1">
      <alignment horizontal="center"/>
    </xf>
    <xf numFmtId="3" fontId="7" fillId="6" borderId="5" xfId="0" applyNumberFormat="1" applyFont="1" applyFill="1" applyBorder="1" applyAlignment="1">
      <alignment horizontal="center"/>
    </xf>
    <xf numFmtId="3" fontId="2" fillId="6" borderId="5" xfId="0" applyNumberFormat="1" applyFont="1" applyFill="1" applyBorder="1"/>
    <xf numFmtId="3" fontId="7" fillId="6" borderId="5" xfId="0" applyNumberFormat="1" applyFont="1" applyFill="1" applyBorder="1"/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A3FFFF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0A05-BFCC-47D9-92D2-320A847297C6}">
  <sheetPr>
    <pageSetUpPr fitToPage="1"/>
  </sheetPr>
  <dimension ref="B1:S60"/>
  <sheetViews>
    <sheetView showGridLines="0" tabSelected="1" zoomScale="75" zoomScaleNormal="75" workbookViewId="0">
      <selection activeCell="G44" sqref="G44"/>
    </sheetView>
  </sheetViews>
  <sheetFormatPr defaultRowHeight="12" x14ac:dyDescent="0.3"/>
  <cols>
    <col min="1" max="1" width="3.7265625" style="2" customWidth="1"/>
    <col min="2" max="2" width="22.7265625" style="2" customWidth="1"/>
    <col min="3" max="3" width="8.7265625" style="2"/>
    <col min="4" max="4" width="4.26953125" style="2" customWidth="1"/>
    <col min="5" max="5" width="24.26953125" style="2" customWidth="1"/>
    <col min="6" max="8" width="9.453125" style="2" customWidth="1"/>
    <col min="9" max="9" width="7.1796875" style="2" customWidth="1"/>
    <col min="10" max="10" width="23" style="2" customWidth="1"/>
    <col min="11" max="13" width="10.7265625" style="1" customWidth="1"/>
    <col min="14" max="14" width="8.7265625" style="1"/>
    <col min="15" max="15" width="23.1796875" style="1" customWidth="1"/>
    <col min="16" max="17" width="8.7265625" style="1"/>
    <col min="18" max="16384" width="8.7265625" style="2"/>
  </cols>
  <sheetData>
    <row r="1" spans="2:19" ht="6.5" customHeight="1" thickBot="1" x14ac:dyDescent="0.35"/>
    <row r="2" spans="2:19" ht="15" customHeight="1" thickBot="1" x14ac:dyDescent="0.35">
      <c r="B2" s="95" t="s">
        <v>74</v>
      </c>
      <c r="C2" s="96"/>
      <c r="D2" s="96"/>
      <c r="E2" s="96"/>
      <c r="F2" s="96"/>
      <c r="G2" s="96"/>
      <c r="H2" s="97"/>
      <c r="J2" s="98" t="s">
        <v>75</v>
      </c>
      <c r="K2" s="99"/>
      <c r="L2" s="99"/>
      <c r="M2" s="99"/>
      <c r="N2" s="99"/>
      <c r="O2" s="99"/>
      <c r="P2" s="99"/>
      <c r="Q2" s="99"/>
      <c r="R2" s="99"/>
      <c r="S2" s="100"/>
    </row>
    <row r="3" spans="2:19" x14ac:dyDescent="0.3">
      <c r="B3" s="41" t="s">
        <v>39</v>
      </c>
      <c r="C3" s="42"/>
      <c r="D3" s="21"/>
      <c r="E3" s="43" t="s">
        <v>41</v>
      </c>
      <c r="F3" s="21"/>
      <c r="G3" s="21"/>
      <c r="H3" s="23"/>
      <c r="J3" s="83" t="s">
        <v>0</v>
      </c>
      <c r="K3" s="84" t="s">
        <v>16</v>
      </c>
      <c r="L3" s="84" t="s">
        <v>17</v>
      </c>
      <c r="M3" s="84" t="s">
        <v>18</v>
      </c>
      <c r="N3" s="19"/>
      <c r="O3" s="85" t="s">
        <v>45</v>
      </c>
      <c r="P3" s="86" t="s">
        <v>54</v>
      </c>
      <c r="Q3" s="84" t="s">
        <v>55</v>
      </c>
      <c r="R3" s="87" t="s">
        <v>56</v>
      </c>
      <c r="S3" s="88" t="s">
        <v>57</v>
      </c>
    </row>
    <row r="4" spans="2:19" x14ac:dyDescent="0.3">
      <c r="B4" s="20" t="s">
        <v>34</v>
      </c>
      <c r="C4" s="56">
        <v>256000</v>
      </c>
      <c r="D4" s="21"/>
      <c r="E4" s="21"/>
      <c r="F4" s="21"/>
      <c r="G4" s="21"/>
      <c r="H4" s="23"/>
      <c r="J4" s="20" t="s">
        <v>1</v>
      </c>
      <c r="K4" s="42">
        <f>+C4</f>
        <v>256000</v>
      </c>
      <c r="L4" s="42">
        <f>+C5</f>
        <v>300000</v>
      </c>
      <c r="M4" s="42">
        <f>+C6</f>
        <v>380000</v>
      </c>
      <c r="N4" s="22"/>
      <c r="O4" s="21"/>
      <c r="P4" s="21"/>
      <c r="Q4" s="22"/>
      <c r="R4" s="21"/>
      <c r="S4" s="23"/>
    </row>
    <row r="5" spans="2:19" ht="13.5" customHeight="1" x14ac:dyDescent="0.3">
      <c r="B5" s="20" t="s">
        <v>37</v>
      </c>
      <c r="C5" s="56">
        <v>300000</v>
      </c>
      <c r="D5" s="21"/>
      <c r="E5" s="44" t="s">
        <v>31</v>
      </c>
      <c r="F5" s="42"/>
      <c r="G5" s="21"/>
      <c r="H5" s="23"/>
      <c r="J5" s="20" t="s">
        <v>2</v>
      </c>
      <c r="K5" s="22">
        <f>+K4*$C$7</f>
        <v>92160</v>
      </c>
      <c r="L5" s="42">
        <f>+L4*$C$7</f>
        <v>108000</v>
      </c>
      <c r="M5" s="42">
        <f>+M4*$C$7</f>
        <v>136800</v>
      </c>
      <c r="N5" s="22"/>
      <c r="O5" s="44" t="s">
        <v>19</v>
      </c>
      <c r="P5" s="21"/>
      <c r="Q5" s="22"/>
      <c r="R5" s="21"/>
      <c r="S5" s="23"/>
    </row>
    <row r="6" spans="2:19" ht="13.5" customHeight="1" x14ac:dyDescent="0.3">
      <c r="B6" s="20" t="s">
        <v>38</v>
      </c>
      <c r="C6" s="56">
        <v>380000</v>
      </c>
      <c r="D6" s="21"/>
      <c r="E6" s="21" t="s">
        <v>32</v>
      </c>
      <c r="F6" s="56">
        <v>25000</v>
      </c>
      <c r="G6" s="21"/>
      <c r="H6" s="23"/>
      <c r="J6" s="20"/>
      <c r="K6" s="3">
        <f>+K4-K5</f>
        <v>163840</v>
      </c>
      <c r="L6" s="10">
        <f>+L4-L5</f>
        <v>192000</v>
      </c>
      <c r="M6" s="10">
        <f>+M4-M5</f>
        <v>243200</v>
      </c>
      <c r="N6" s="22"/>
      <c r="O6" s="21" t="s">
        <v>20</v>
      </c>
      <c r="P6" s="42">
        <f>+F8</f>
        <v>100000</v>
      </c>
      <c r="Q6" s="42">
        <f>+I41</f>
        <v>38381.301369863009</v>
      </c>
      <c r="R6" s="42">
        <f>+N41</f>
        <v>54161.497025708413</v>
      </c>
      <c r="S6" s="50">
        <f>+S41</f>
        <v>129457.85878448113</v>
      </c>
    </row>
    <row r="7" spans="2:19" ht="13.5" customHeight="1" x14ac:dyDescent="0.3">
      <c r="B7" s="20" t="s">
        <v>35</v>
      </c>
      <c r="C7" s="57">
        <v>0.36</v>
      </c>
      <c r="D7" s="21"/>
      <c r="E7" s="21" t="s">
        <v>33</v>
      </c>
      <c r="F7" s="56">
        <v>75000</v>
      </c>
      <c r="G7" s="21"/>
      <c r="H7" s="23"/>
      <c r="J7" s="20" t="s">
        <v>3</v>
      </c>
      <c r="K7" s="22">
        <f>+K4*$C$8</f>
        <v>17920</v>
      </c>
      <c r="L7" s="42">
        <f>+L4*$C$8</f>
        <v>21000.000000000004</v>
      </c>
      <c r="M7" s="42">
        <f>+M4*$C$8</f>
        <v>26600.000000000004</v>
      </c>
      <c r="N7" s="22"/>
      <c r="O7" s="21" t="s">
        <v>21</v>
      </c>
      <c r="P7" s="42">
        <v>0</v>
      </c>
      <c r="Q7" s="42">
        <f>+I42</f>
        <v>63123.287671232887</v>
      </c>
      <c r="R7" s="42">
        <f>+N42</f>
        <v>73972.602739726019</v>
      </c>
      <c r="S7" s="50">
        <f>+S42</f>
        <v>93698.630136986321</v>
      </c>
    </row>
    <row r="8" spans="2:19" ht="13.5" customHeight="1" thickBot="1" x14ac:dyDescent="0.35">
      <c r="B8" s="20" t="s">
        <v>3</v>
      </c>
      <c r="C8" s="57">
        <v>7.0000000000000007E-2</v>
      </c>
      <c r="D8" s="21"/>
      <c r="E8" s="21"/>
      <c r="F8" s="8">
        <f>SUM(F6:F7)</f>
        <v>100000</v>
      </c>
      <c r="G8" s="21"/>
      <c r="H8" s="23"/>
      <c r="J8" s="20" t="s">
        <v>7</v>
      </c>
      <c r="K8" s="4">
        <f>+K6-K7</f>
        <v>145920</v>
      </c>
      <c r="L8" s="9">
        <f>+L6-L7</f>
        <v>171000</v>
      </c>
      <c r="M8" s="9">
        <f>+M6-M7</f>
        <v>216600</v>
      </c>
      <c r="N8" s="22"/>
      <c r="O8" s="21" t="s">
        <v>60</v>
      </c>
      <c r="P8" s="21">
        <v>0</v>
      </c>
      <c r="Q8" s="22">
        <f>+I43</f>
        <v>11520</v>
      </c>
      <c r="R8" s="22">
        <f>+N43</f>
        <v>13315.068493150686</v>
      </c>
      <c r="S8" s="36">
        <f>+S43</f>
        <v>16865.753424657534</v>
      </c>
    </row>
    <row r="9" spans="2:19" ht="13.5" customHeight="1" thickTop="1" x14ac:dyDescent="0.3">
      <c r="B9" s="20" t="s">
        <v>4</v>
      </c>
      <c r="C9" s="56">
        <v>37800</v>
      </c>
      <c r="D9" s="21"/>
      <c r="E9" s="21"/>
      <c r="F9" s="21"/>
      <c r="G9" s="21"/>
      <c r="H9" s="23"/>
      <c r="J9" s="20" t="s">
        <v>4</v>
      </c>
      <c r="K9" s="42">
        <f>+C9</f>
        <v>37800</v>
      </c>
      <c r="L9" s="42">
        <f t="shared" ref="L9:M11" si="0">+K9*(1+$C$12)</f>
        <v>38934</v>
      </c>
      <c r="M9" s="42">
        <f t="shared" si="0"/>
        <v>40102.020000000004</v>
      </c>
      <c r="N9" s="22"/>
      <c r="O9" s="21" t="s">
        <v>22</v>
      </c>
      <c r="P9" s="42">
        <v>0</v>
      </c>
      <c r="Q9" s="42">
        <f>+I46</f>
        <v>75000</v>
      </c>
      <c r="R9" s="42">
        <f>+N46</f>
        <v>110000</v>
      </c>
      <c r="S9" s="50">
        <f>+S46</f>
        <v>120000</v>
      </c>
    </row>
    <row r="10" spans="2:19" ht="13.5" customHeight="1" x14ac:dyDescent="0.3">
      <c r="B10" s="20" t="s">
        <v>5</v>
      </c>
      <c r="C10" s="56">
        <v>23450</v>
      </c>
      <c r="D10" s="21"/>
      <c r="E10" s="44" t="s">
        <v>42</v>
      </c>
      <c r="F10" s="58">
        <v>90</v>
      </c>
      <c r="G10" s="21"/>
      <c r="H10" s="23"/>
      <c r="J10" s="20" t="s">
        <v>5</v>
      </c>
      <c r="K10" s="42">
        <f>+C10</f>
        <v>23450</v>
      </c>
      <c r="L10" s="42">
        <f t="shared" si="0"/>
        <v>24153.5</v>
      </c>
      <c r="M10" s="42">
        <f t="shared" si="0"/>
        <v>24878.105</v>
      </c>
      <c r="N10" s="22"/>
      <c r="O10" s="21" t="s">
        <v>72</v>
      </c>
      <c r="P10" s="21">
        <v>0</v>
      </c>
      <c r="Q10" s="22">
        <f>+I47</f>
        <v>-9375</v>
      </c>
      <c r="R10" s="22">
        <f>+N47</f>
        <v>-23125</v>
      </c>
      <c r="S10" s="36">
        <f>+S47</f>
        <v>-38125</v>
      </c>
    </row>
    <row r="11" spans="2:19" ht="13.5" customHeight="1" thickBot="1" x14ac:dyDescent="0.35">
      <c r="B11" s="20" t="s">
        <v>36</v>
      </c>
      <c r="C11" s="56">
        <v>8000</v>
      </c>
      <c r="D11" s="21"/>
      <c r="E11" s="44" t="s">
        <v>68</v>
      </c>
      <c r="F11" s="58">
        <v>90</v>
      </c>
      <c r="G11" s="21"/>
      <c r="H11" s="23"/>
      <c r="J11" s="20" t="s">
        <v>6</v>
      </c>
      <c r="K11" s="42">
        <f>+C11</f>
        <v>8000</v>
      </c>
      <c r="L11" s="42">
        <f t="shared" si="0"/>
        <v>8240</v>
      </c>
      <c r="M11" s="42">
        <f t="shared" si="0"/>
        <v>8487.2000000000007</v>
      </c>
      <c r="N11" s="22"/>
      <c r="O11" s="21"/>
      <c r="P11" s="13">
        <f>SUM(P6:P10)</f>
        <v>100000</v>
      </c>
      <c r="Q11" s="13">
        <f>SUM(Q6:Q10)</f>
        <v>178649.5890410959</v>
      </c>
      <c r="R11" s="13">
        <f>SUM(R6:R10)</f>
        <v>228324.16825858512</v>
      </c>
      <c r="S11" s="55">
        <f>SUM(S6:S10)</f>
        <v>321897.24234612496</v>
      </c>
    </row>
    <row r="12" spans="2:19" ht="13.5" customHeight="1" thickTop="1" x14ac:dyDescent="0.3">
      <c r="B12" s="20" t="s">
        <v>47</v>
      </c>
      <c r="C12" s="57">
        <v>0.03</v>
      </c>
      <c r="D12" s="21"/>
      <c r="E12" s="44" t="s">
        <v>67</v>
      </c>
      <c r="F12" s="58">
        <v>30</v>
      </c>
      <c r="G12" s="21"/>
      <c r="H12" s="23"/>
      <c r="J12" s="20" t="s">
        <v>9</v>
      </c>
      <c r="K12" s="4">
        <f>SUM(K9:K11)</f>
        <v>69250</v>
      </c>
      <c r="L12" s="9">
        <f>SUM(L9:L11)</f>
        <v>71327.5</v>
      </c>
      <c r="M12" s="9">
        <f>SUM(M9:M11)</f>
        <v>73467.324999999997</v>
      </c>
      <c r="N12" s="22"/>
      <c r="O12" s="44" t="s">
        <v>23</v>
      </c>
      <c r="P12" s="42"/>
      <c r="Q12" s="42"/>
      <c r="R12" s="42"/>
      <c r="S12" s="50"/>
    </row>
    <row r="13" spans="2:19" ht="13.5" customHeight="1" x14ac:dyDescent="0.3">
      <c r="B13" s="20" t="s">
        <v>61</v>
      </c>
      <c r="C13" s="57">
        <v>0.27</v>
      </c>
      <c r="D13" s="21"/>
      <c r="E13" s="44" t="s">
        <v>43</v>
      </c>
      <c r="F13" s="58">
        <v>45</v>
      </c>
      <c r="G13" s="21"/>
      <c r="H13" s="23"/>
      <c r="J13" s="53" t="s">
        <v>8</v>
      </c>
      <c r="K13" s="5">
        <f>+K8-K12</f>
        <v>76670</v>
      </c>
      <c r="L13" s="11">
        <f>+L8-L12</f>
        <v>99672.5</v>
      </c>
      <c r="M13" s="11">
        <f>+M8-M12</f>
        <v>143132.67499999999</v>
      </c>
      <c r="N13" s="22"/>
      <c r="O13" s="44" t="s">
        <v>29</v>
      </c>
      <c r="P13" s="51"/>
      <c r="Q13" s="51"/>
      <c r="R13" s="51"/>
      <c r="S13" s="52"/>
    </row>
    <row r="14" spans="2:19" ht="13.5" customHeight="1" x14ac:dyDescent="0.3">
      <c r="B14" s="20"/>
      <c r="C14" s="42"/>
      <c r="D14" s="21"/>
      <c r="E14" s="21"/>
      <c r="F14" s="21"/>
      <c r="G14" s="21"/>
      <c r="H14" s="23"/>
      <c r="J14" s="20" t="s">
        <v>10</v>
      </c>
      <c r="K14" s="12">
        <f>+C16*C22</f>
        <v>9375</v>
      </c>
      <c r="L14" s="12">
        <f>+(C16+C17)*C22</f>
        <v>13750</v>
      </c>
      <c r="M14" s="12">
        <f>+(C16+C17+C18)*C22</f>
        <v>15000</v>
      </c>
      <c r="N14" s="22"/>
      <c r="O14" s="21" t="s">
        <v>25</v>
      </c>
      <c r="P14" s="42">
        <v>0</v>
      </c>
      <c r="Q14" s="42">
        <f>-I48-I49-I50-I51-I45-I44</f>
        <v>32729.589041095896</v>
      </c>
      <c r="R14" s="42">
        <f>-N44-N45-N48-N49-N50-N51</f>
        <v>34661.318258585088</v>
      </c>
      <c r="S14" s="50">
        <f>-S44-S45-S48-S49-S50-S51</f>
        <v>42831.729846124981</v>
      </c>
    </row>
    <row r="15" spans="2:19" ht="13.5" customHeight="1" x14ac:dyDescent="0.3">
      <c r="B15" s="41" t="s">
        <v>46</v>
      </c>
      <c r="C15" s="21"/>
      <c r="D15" s="21"/>
      <c r="E15" s="44" t="s">
        <v>44</v>
      </c>
      <c r="F15" s="21"/>
      <c r="G15" s="21"/>
      <c r="H15" s="23"/>
      <c r="J15" s="53" t="s">
        <v>11</v>
      </c>
      <c r="K15" s="5">
        <f>+K13-K14</f>
        <v>67295</v>
      </c>
      <c r="L15" s="5">
        <f>+L13-L14</f>
        <v>85922.5</v>
      </c>
      <c r="M15" s="5">
        <f>+M13-M14</f>
        <v>128132.67499999999</v>
      </c>
      <c r="N15" s="22"/>
      <c r="O15" s="22" t="s">
        <v>73</v>
      </c>
      <c r="P15" s="22">
        <v>0</v>
      </c>
      <c r="Q15" s="22">
        <f>-I53</f>
        <v>17460.900000000001</v>
      </c>
      <c r="R15" s="22">
        <f>-N53</f>
        <v>22667.512500000004</v>
      </c>
      <c r="S15" s="36">
        <f>-S53</f>
        <v>34241.447249999997</v>
      </c>
    </row>
    <row r="16" spans="2:19" ht="13.5" customHeight="1" x14ac:dyDescent="0.3">
      <c r="B16" s="45">
        <v>2020</v>
      </c>
      <c r="C16" s="56">
        <v>75000</v>
      </c>
      <c r="D16" s="21"/>
      <c r="E16" s="21" t="s">
        <v>59</v>
      </c>
      <c r="F16" s="21"/>
      <c r="G16" s="21"/>
      <c r="H16" s="23"/>
      <c r="J16" s="20" t="s">
        <v>12</v>
      </c>
      <c r="K16" s="22">
        <f>-H22</f>
        <v>-2625.0000000000005</v>
      </c>
      <c r="L16" s="42">
        <f>-H23</f>
        <v>-1968.7500000000002</v>
      </c>
      <c r="M16" s="42">
        <f>-H24</f>
        <v>-1312.5000000000002</v>
      </c>
      <c r="N16" s="22"/>
      <c r="O16" s="21" t="s">
        <v>24</v>
      </c>
      <c r="P16" s="42">
        <f>+F7</f>
        <v>75000</v>
      </c>
      <c r="Q16" s="42">
        <f>-I54</f>
        <v>56250</v>
      </c>
      <c r="R16" s="42">
        <f>-N54</f>
        <v>37500</v>
      </c>
      <c r="S16" s="50">
        <f>-S54</f>
        <v>18750</v>
      </c>
    </row>
    <row r="17" spans="2:19" x14ac:dyDescent="0.3">
      <c r="B17" s="45">
        <v>2021</v>
      </c>
      <c r="C17" s="56">
        <v>35000</v>
      </c>
      <c r="D17" s="21"/>
      <c r="E17" s="21" t="s">
        <v>48</v>
      </c>
      <c r="F17" s="21"/>
      <c r="G17" s="21"/>
      <c r="H17" s="23"/>
      <c r="J17" s="20" t="s">
        <v>15</v>
      </c>
      <c r="K17" s="5">
        <f>+K15+K16</f>
        <v>64670</v>
      </c>
      <c r="L17" s="11">
        <f>+L15+L16</f>
        <v>83953.75</v>
      </c>
      <c r="M17" s="11">
        <f>+M15+M16</f>
        <v>126820.17499999999</v>
      </c>
      <c r="N17" s="22"/>
      <c r="O17" s="21"/>
      <c r="P17" s="9">
        <f>SUM(P14:P16)</f>
        <v>75000</v>
      </c>
      <c r="Q17" s="9">
        <f>SUM(Q14:Q16)</f>
        <v>106440.48904109589</v>
      </c>
      <c r="R17" s="9">
        <f>SUM(R14:R16)</f>
        <v>94828.8307585851</v>
      </c>
      <c r="S17" s="54">
        <f>SUM(S14:S16)</f>
        <v>95823.177096124971</v>
      </c>
    </row>
    <row r="18" spans="2:19" x14ac:dyDescent="0.3">
      <c r="B18" s="45">
        <v>2022</v>
      </c>
      <c r="C18" s="56">
        <v>10000</v>
      </c>
      <c r="D18" s="21"/>
      <c r="E18" s="73" t="s">
        <v>82</v>
      </c>
      <c r="F18" s="74" t="s">
        <v>52</v>
      </c>
      <c r="G18" s="74" t="s">
        <v>51</v>
      </c>
      <c r="H18" s="75" t="s">
        <v>53</v>
      </c>
      <c r="J18" s="20" t="s">
        <v>13</v>
      </c>
      <c r="K18" s="22">
        <f>IF(K17&lt;0,0,K17*$C$13)</f>
        <v>17460.900000000001</v>
      </c>
      <c r="L18" s="22">
        <f>IF(L17&lt;0,0,L17*$C$13)</f>
        <v>22667.512500000001</v>
      </c>
      <c r="M18" s="22">
        <f>IF(M17&lt;0,0,M17*$C$13)</f>
        <v>34241.447249999997</v>
      </c>
      <c r="N18" s="22"/>
      <c r="O18" s="44" t="s">
        <v>30</v>
      </c>
      <c r="P18" s="51"/>
      <c r="Q18" s="51"/>
      <c r="R18" s="51"/>
      <c r="S18" s="52"/>
    </row>
    <row r="19" spans="2:19" ht="12.5" thickBot="1" x14ac:dyDescent="0.35">
      <c r="B19" s="20"/>
      <c r="C19" s="15">
        <f>SUM(C16:C18)</f>
        <v>120000</v>
      </c>
      <c r="D19" s="21"/>
      <c r="E19" s="76"/>
      <c r="F19" s="65"/>
      <c r="G19" s="65"/>
      <c r="H19" s="68">
        <v>3.5000000000000003E-2</v>
      </c>
      <c r="I19" s="6"/>
      <c r="J19" s="20" t="s">
        <v>14</v>
      </c>
      <c r="K19" s="7">
        <f>+K17-K18</f>
        <v>47209.1</v>
      </c>
      <c r="L19" s="7">
        <f>+L17-L18</f>
        <v>61286.237500000003</v>
      </c>
      <c r="M19" s="7">
        <f>+M17-M18</f>
        <v>92578.727749999991</v>
      </c>
      <c r="N19" s="22"/>
      <c r="O19" s="21" t="s">
        <v>26</v>
      </c>
      <c r="P19" s="42">
        <f>+F6</f>
        <v>25000</v>
      </c>
      <c r="Q19" s="42">
        <f>-I55</f>
        <v>25000</v>
      </c>
      <c r="R19" s="42">
        <f>-N55</f>
        <v>25000</v>
      </c>
      <c r="S19" s="50">
        <f>-S55</f>
        <v>25000</v>
      </c>
    </row>
    <row r="20" spans="2:19" ht="12.5" thickTop="1" x14ac:dyDescent="0.3">
      <c r="B20" s="20"/>
      <c r="C20" s="21"/>
      <c r="D20" s="21"/>
      <c r="E20" s="77" t="s">
        <v>54</v>
      </c>
      <c r="F20" s="69">
        <f>+F7</f>
        <v>75000</v>
      </c>
      <c r="G20" s="69">
        <f>+F20</f>
        <v>75000</v>
      </c>
      <c r="H20" s="70">
        <v>0</v>
      </c>
      <c r="J20" s="20"/>
      <c r="K20" s="21"/>
      <c r="L20" s="21"/>
      <c r="M20" s="21"/>
      <c r="N20" s="22"/>
      <c r="O20" s="21" t="s">
        <v>27</v>
      </c>
      <c r="P20" s="42">
        <v>0</v>
      </c>
      <c r="Q20" s="42">
        <f>-I56</f>
        <v>0</v>
      </c>
      <c r="R20" s="42">
        <f>-N56</f>
        <v>47209.1</v>
      </c>
      <c r="S20" s="50">
        <f>-S56</f>
        <v>108495.33749999999</v>
      </c>
    </row>
    <row r="21" spans="2:19" x14ac:dyDescent="0.3">
      <c r="B21" s="20" t="s">
        <v>49</v>
      </c>
      <c r="C21" s="56">
        <v>8</v>
      </c>
      <c r="D21" s="21"/>
      <c r="E21" s="76"/>
      <c r="F21" s="66"/>
      <c r="G21" s="66"/>
      <c r="H21" s="67"/>
      <c r="J21" s="49" t="s">
        <v>83</v>
      </c>
      <c r="K21" s="14" t="s">
        <v>16</v>
      </c>
      <c r="L21" s="14" t="s">
        <v>17</v>
      </c>
      <c r="M21" s="14" t="s">
        <v>18</v>
      </c>
      <c r="N21" s="22"/>
      <c r="O21" s="21" t="s">
        <v>28</v>
      </c>
      <c r="P21" s="42">
        <v>0</v>
      </c>
      <c r="Q21" s="42">
        <f>-I57</f>
        <v>47209.1</v>
      </c>
      <c r="R21" s="42">
        <f>-N57</f>
        <v>61286.237499999996</v>
      </c>
      <c r="S21" s="50">
        <f>-S57</f>
        <v>92578.727750000049</v>
      </c>
    </row>
    <row r="22" spans="2:19" x14ac:dyDescent="0.3">
      <c r="B22" s="20" t="s">
        <v>50</v>
      </c>
      <c r="C22" s="46">
        <f>1/C21</f>
        <v>0.125</v>
      </c>
      <c r="D22" s="21"/>
      <c r="E22" s="78" t="s">
        <v>55</v>
      </c>
      <c r="F22" s="71">
        <f>+F20/-4</f>
        <v>-18750</v>
      </c>
      <c r="G22" s="71">
        <f>+F22+G20</f>
        <v>56250</v>
      </c>
      <c r="H22" s="72">
        <f>+H19*G20</f>
        <v>2625.0000000000005</v>
      </c>
      <c r="J22" s="41" t="s">
        <v>84</v>
      </c>
      <c r="K22" s="82">
        <v>0</v>
      </c>
      <c r="L22" s="82">
        <f>+K33</f>
        <v>38381.301369863009</v>
      </c>
      <c r="M22" s="82">
        <f>+L33</f>
        <v>54161.497025708319</v>
      </c>
      <c r="N22" s="22"/>
      <c r="O22" s="21"/>
      <c r="P22" s="9">
        <f>SUM(P19:P21)</f>
        <v>25000</v>
      </c>
      <c r="Q22" s="9">
        <f t="shared" ref="Q22:S22" si="1">SUM(Q19:Q21)</f>
        <v>72209.100000000006</v>
      </c>
      <c r="R22" s="9">
        <f t="shared" si="1"/>
        <v>133495.33749999999</v>
      </c>
      <c r="S22" s="54">
        <f t="shared" si="1"/>
        <v>226074.06525000004</v>
      </c>
    </row>
    <row r="23" spans="2:19" ht="12.5" thickBot="1" x14ac:dyDescent="0.35">
      <c r="B23" s="20"/>
      <c r="C23" s="21"/>
      <c r="D23" s="21"/>
      <c r="E23" s="78" t="s">
        <v>56</v>
      </c>
      <c r="F23" s="71">
        <f>+F22</f>
        <v>-18750</v>
      </c>
      <c r="G23" s="71">
        <f>+G22+F23</f>
        <v>37500</v>
      </c>
      <c r="H23" s="72">
        <f>+G22*H19</f>
        <v>1968.7500000000002</v>
      </c>
      <c r="J23" s="41" t="s">
        <v>85</v>
      </c>
      <c r="K23" s="22"/>
      <c r="L23" s="22"/>
      <c r="M23" s="22"/>
      <c r="N23" s="22"/>
      <c r="O23" s="21"/>
      <c r="P23" s="13">
        <f>+P22+P17</f>
        <v>100000</v>
      </c>
      <c r="Q23" s="13">
        <f t="shared" ref="Q23:S23" si="2">+Q22+Q17</f>
        <v>178649.5890410959</v>
      </c>
      <c r="R23" s="13">
        <f t="shared" si="2"/>
        <v>228324.16825858509</v>
      </c>
      <c r="S23" s="55">
        <f t="shared" si="2"/>
        <v>321897.24234612501</v>
      </c>
    </row>
    <row r="24" spans="2:19" ht="12.5" thickTop="1" x14ac:dyDescent="0.3">
      <c r="B24" s="20"/>
      <c r="C24" s="21"/>
      <c r="D24" s="21"/>
      <c r="E24" s="78" t="s">
        <v>57</v>
      </c>
      <c r="F24" s="71">
        <f>+F23</f>
        <v>-18750</v>
      </c>
      <c r="G24" s="71">
        <f>+G23+F24</f>
        <v>18750</v>
      </c>
      <c r="H24" s="72">
        <f>+G23*H19</f>
        <v>1312.5000000000002</v>
      </c>
      <c r="J24" s="20" t="s">
        <v>86</v>
      </c>
      <c r="K24" s="22">
        <f>-H42</f>
        <v>192876.71232876711</v>
      </c>
      <c r="L24" s="22">
        <f>-M42</f>
        <v>289150.68493150687</v>
      </c>
      <c r="M24" s="22">
        <f>-R42</f>
        <v>360273.9726027397</v>
      </c>
      <c r="N24" s="22"/>
      <c r="O24" s="22"/>
      <c r="P24" s="22"/>
      <c r="Q24" s="22"/>
      <c r="R24" s="21"/>
      <c r="S24" s="23"/>
    </row>
    <row r="25" spans="2:19" x14ac:dyDescent="0.3">
      <c r="B25" s="20"/>
      <c r="C25" s="21"/>
      <c r="D25" s="21"/>
      <c r="E25" s="79" t="s">
        <v>58</v>
      </c>
      <c r="F25" s="80">
        <f>+F24</f>
        <v>-18750</v>
      </c>
      <c r="G25" s="80">
        <f>+G24+F25</f>
        <v>0</v>
      </c>
      <c r="H25" s="81">
        <f>+G24*H19</f>
        <v>656.25000000000011</v>
      </c>
      <c r="J25" s="20" t="s">
        <v>90</v>
      </c>
      <c r="K25" s="22">
        <f>-F54</f>
        <v>75000</v>
      </c>
      <c r="L25" s="22">
        <v>0</v>
      </c>
      <c r="M25" s="22">
        <v>0</v>
      </c>
      <c r="N25" s="22"/>
      <c r="O25" s="22"/>
      <c r="P25" s="22"/>
      <c r="Q25" s="22" t="s">
        <v>48</v>
      </c>
      <c r="R25" s="21"/>
      <c r="S25" s="36"/>
    </row>
    <row r="26" spans="2:19" ht="12.5" thickBot="1" x14ac:dyDescent="0.35">
      <c r="B26" s="25"/>
      <c r="C26" s="26"/>
      <c r="D26" s="26"/>
      <c r="E26" s="48"/>
      <c r="F26" s="59"/>
      <c r="G26" s="59"/>
      <c r="H26" s="60"/>
      <c r="J26" s="20" t="s">
        <v>91</v>
      </c>
      <c r="K26" s="22">
        <f>-F55</f>
        <v>25000</v>
      </c>
      <c r="L26" s="22">
        <f>-G55</f>
        <v>0</v>
      </c>
      <c r="M26" s="22">
        <f>-H55</f>
        <v>0</v>
      </c>
      <c r="N26" s="22"/>
      <c r="O26" s="22"/>
      <c r="P26" s="22"/>
      <c r="Q26" s="22"/>
      <c r="R26" s="21"/>
      <c r="S26" s="36"/>
    </row>
    <row r="27" spans="2:19" x14ac:dyDescent="0.3">
      <c r="B27" s="21"/>
      <c r="C27" s="21"/>
      <c r="D27" s="21"/>
      <c r="E27" s="47"/>
      <c r="F27" s="22"/>
      <c r="G27" s="22"/>
      <c r="H27" s="22"/>
      <c r="J27" s="20"/>
      <c r="K27" s="5">
        <f>SUM(K24:K26)</f>
        <v>292876.71232876711</v>
      </c>
      <c r="L27" s="5">
        <f>SUM(L24:L26)</f>
        <v>289150.68493150687</v>
      </c>
      <c r="M27" s="5">
        <f>SUM(M24:M26)</f>
        <v>360273.9726027397</v>
      </c>
      <c r="N27" s="22"/>
      <c r="O27" s="22"/>
      <c r="P27" s="22"/>
      <c r="Q27" s="22"/>
      <c r="R27" s="21"/>
      <c r="S27" s="36"/>
    </row>
    <row r="28" spans="2:19" x14ac:dyDescent="0.3">
      <c r="B28" s="21"/>
      <c r="C28" s="21"/>
      <c r="D28" s="21"/>
      <c r="E28" s="47"/>
      <c r="F28" s="22"/>
      <c r="G28" s="22"/>
      <c r="H28" s="22"/>
      <c r="J28" s="41" t="s">
        <v>87</v>
      </c>
      <c r="K28" s="22"/>
      <c r="L28" s="22"/>
      <c r="M28" s="22"/>
      <c r="N28" s="22"/>
      <c r="O28" s="22"/>
      <c r="P28" s="22"/>
      <c r="Q28" s="22"/>
      <c r="R28" s="21"/>
      <c r="S28" s="36"/>
    </row>
    <row r="29" spans="2:19" x14ac:dyDescent="0.3">
      <c r="B29" s="21"/>
      <c r="C29" s="21"/>
      <c r="D29" s="21"/>
      <c r="E29" s="47"/>
      <c r="F29" s="22"/>
      <c r="G29" s="22"/>
      <c r="H29" s="22"/>
      <c r="J29" s="20" t="s">
        <v>92</v>
      </c>
      <c r="K29" s="22">
        <f>-H44-H48-H49-H50-H51-H52-H53</f>
        <v>-160745.4109589041</v>
      </c>
      <c r="L29" s="22">
        <f>-M44-M48-M49-M50-M51-M52-M53</f>
        <v>-219620.4892756615</v>
      </c>
      <c r="M29" s="22">
        <f>-R44-R48-R49-R50-R51-R52-R53</f>
        <v>-256227.61084396695</v>
      </c>
      <c r="N29" s="22"/>
      <c r="O29" s="22"/>
      <c r="P29" s="22"/>
      <c r="Q29" s="22"/>
      <c r="R29" s="21"/>
      <c r="S29" s="36"/>
    </row>
    <row r="30" spans="2:19" x14ac:dyDescent="0.3">
      <c r="B30" s="21"/>
      <c r="C30" s="21"/>
      <c r="D30" s="21"/>
      <c r="E30" s="47"/>
      <c r="F30" s="22"/>
      <c r="G30" s="22"/>
      <c r="H30" s="22"/>
      <c r="J30" s="20" t="s">
        <v>93</v>
      </c>
      <c r="K30" s="22">
        <f>-H45</f>
        <v>-75000</v>
      </c>
      <c r="L30" s="22">
        <f>-M45</f>
        <v>-35000</v>
      </c>
      <c r="M30" s="22">
        <f>-R45</f>
        <v>-10000</v>
      </c>
      <c r="N30" s="22"/>
      <c r="O30" s="22"/>
      <c r="P30" s="22"/>
      <c r="Q30" s="22"/>
      <c r="R30" s="21"/>
      <c r="S30" s="36"/>
    </row>
    <row r="31" spans="2:19" x14ac:dyDescent="0.3">
      <c r="B31" s="21"/>
      <c r="C31" s="21"/>
      <c r="D31" s="21"/>
      <c r="E31" s="47"/>
      <c r="F31" s="22"/>
      <c r="G31" s="22"/>
      <c r="H31" s="22"/>
      <c r="J31" s="20" t="s">
        <v>88</v>
      </c>
      <c r="K31" s="22">
        <f>-H54</f>
        <v>-18750</v>
      </c>
      <c r="L31" s="22">
        <f>-M54</f>
        <v>-18750</v>
      </c>
      <c r="M31" s="22">
        <f>-R54</f>
        <v>-18750</v>
      </c>
      <c r="N31" s="22"/>
      <c r="O31" s="22"/>
      <c r="P31" s="22"/>
      <c r="Q31" s="22"/>
      <c r="R31" s="21"/>
      <c r="S31" s="36"/>
    </row>
    <row r="32" spans="2:19" x14ac:dyDescent="0.3">
      <c r="B32" s="21"/>
      <c r="C32" s="21"/>
      <c r="D32" s="21"/>
      <c r="E32" s="47"/>
      <c r="F32" s="22"/>
      <c r="G32" s="22"/>
      <c r="H32" s="22"/>
      <c r="J32" s="20"/>
      <c r="K32" s="5">
        <f>SUM(K29:K31)</f>
        <v>-254495.4109589041</v>
      </c>
      <c r="L32" s="5">
        <f>SUM(L29:L31)</f>
        <v>-273370.48927566153</v>
      </c>
      <c r="M32" s="5">
        <f>SUM(M29:M31)</f>
        <v>-284977.61084396695</v>
      </c>
      <c r="N32" s="22"/>
      <c r="O32" s="22"/>
      <c r="P32" s="22"/>
      <c r="Q32" s="22"/>
      <c r="R32" s="21"/>
      <c r="S32" s="36"/>
    </row>
    <row r="33" spans="2:19" ht="12.5" thickBot="1" x14ac:dyDescent="0.35">
      <c r="B33" s="21"/>
      <c r="C33" s="21"/>
      <c r="D33" s="21"/>
      <c r="E33" s="47"/>
      <c r="F33" s="22"/>
      <c r="G33" s="22"/>
      <c r="H33" s="22"/>
      <c r="J33" s="41" t="s">
        <v>89</v>
      </c>
      <c r="K33" s="7">
        <f>+K22+K27+K32</f>
        <v>38381.301369863009</v>
      </c>
      <c r="L33" s="7">
        <f>+L22+L27+L32</f>
        <v>54161.497025708319</v>
      </c>
      <c r="M33" s="7">
        <f>+M22+M27+M32</f>
        <v>129457.85878448107</v>
      </c>
      <c r="N33" s="22"/>
      <c r="O33" s="22"/>
      <c r="P33" s="22"/>
      <c r="Q33" s="22"/>
      <c r="R33" s="21"/>
      <c r="S33" s="36"/>
    </row>
    <row r="34" spans="2:19" ht="4.5" customHeight="1" thickTop="1" thickBot="1" x14ac:dyDescent="0.35">
      <c r="B34" s="21"/>
      <c r="C34" s="21"/>
      <c r="D34" s="21"/>
      <c r="E34" s="47"/>
      <c r="F34" s="22"/>
      <c r="G34" s="22"/>
      <c r="H34" s="22"/>
      <c r="J34" s="25"/>
      <c r="K34" s="26"/>
      <c r="L34" s="26"/>
      <c r="M34" s="26"/>
      <c r="N34" s="26"/>
      <c r="O34" s="26"/>
      <c r="P34" s="26"/>
      <c r="Q34" s="26"/>
      <c r="R34" s="26"/>
      <c r="S34" s="28"/>
    </row>
    <row r="35" spans="2:19" x14ac:dyDescent="0.3">
      <c r="B35" s="21"/>
      <c r="C35" s="21"/>
      <c r="D35" s="21"/>
      <c r="E35" s="47"/>
      <c r="F35" s="22"/>
      <c r="G35" s="22"/>
      <c r="H35" s="22"/>
      <c r="S35" s="1"/>
    </row>
    <row r="36" spans="2:19" x14ac:dyDescent="0.3">
      <c r="B36" s="21"/>
      <c r="C36" s="21"/>
      <c r="D36" s="21"/>
      <c r="E36" s="47"/>
      <c r="F36" s="22"/>
      <c r="G36" s="22"/>
      <c r="H36" s="22"/>
      <c r="S36" s="1"/>
    </row>
    <row r="37" spans="2:19" x14ac:dyDescent="0.3">
      <c r="B37" s="21"/>
      <c r="C37" s="21"/>
      <c r="D37" s="21"/>
      <c r="E37" s="47"/>
      <c r="F37" s="22"/>
      <c r="G37" s="22"/>
      <c r="H37" s="22"/>
      <c r="S37" s="1"/>
    </row>
    <row r="38" spans="2:19" ht="12.5" thickBot="1" x14ac:dyDescent="0.35"/>
    <row r="39" spans="2:19" ht="15" customHeight="1" thickBot="1" x14ac:dyDescent="0.35">
      <c r="D39" s="98" t="s">
        <v>76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100"/>
    </row>
    <row r="40" spans="2:19" ht="12.5" thickBot="1" x14ac:dyDescent="0.35">
      <c r="B40" s="89" t="s">
        <v>77</v>
      </c>
      <c r="D40" s="17"/>
      <c r="E40" s="18"/>
      <c r="F40" s="92" t="s">
        <v>94</v>
      </c>
      <c r="G40" s="92" t="s">
        <v>95</v>
      </c>
      <c r="H40" s="92" t="s">
        <v>96</v>
      </c>
      <c r="I40" s="92" t="s">
        <v>97</v>
      </c>
      <c r="J40" s="18"/>
      <c r="K40" s="92" t="s">
        <v>94</v>
      </c>
      <c r="L40" s="93" t="s">
        <v>95</v>
      </c>
      <c r="M40" s="93" t="s">
        <v>96</v>
      </c>
      <c r="N40" s="93" t="s">
        <v>97</v>
      </c>
      <c r="O40" s="19"/>
      <c r="P40" s="93" t="s">
        <v>94</v>
      </c>
      <c r="Q40" s="93" t="s">
        <v>95</v>
      </c>
      <c r="R40" s="92" t="s">
        <v>96</v>
      </c>
      <c r="S40" s="94" t="s">
        <v>97</v>
      </c>
    </row>
    <row r="41" spans="2:19" ht="12.5" thickBot="1" x14ac:dyDescent="0.35">
      <c r="D41" s="20"/>
      <c r="E41" s="21" t="s">
        <v>20</v>
      </c>
      <c r="F41" s="33">
        <f>+P6</f>
        <v>100000</v>
      </c>
      <c r="G41" s="18"/>
      <c r="H41" s="90">
        <f>-SUM(H42:H57)</f>
        <v>-61618.698630136991</v>
      </c>
      <c r="I41" s="34">
        <f t="shared" ref="I41:I57" si="3">+H41+G41+F41</f>
        <v>38381.301369863009</v>
      </c>
      <c r="J41" s="21"/>
      <c r="K41" s="33">
        <f t="shared" ref="K41:K57" si="4">+I41</f>
        <v>38381.301369863009</v>
      </c>
      <c r="L41" s="19"/>
      <c r="M41" s="90">
        <f>-SUM(M42:M57)</f>
        <v>15780.195655845404</v>
      </c>
      <c r="N41" s="34">
        <f t="shared" ref="N41:N57" si="5">SUM(K41:M41)</f>
        <v>54161.497025708413</v>
      </c>
      <c r="O41" s="21"/>
      <c r="P41" s="33">
        <f t="shared" ref="P41:P57" si="6">+N41</f>
        <v>54161.497025708413</v>
      </c>
      <c r="Q41" s="19"/>
      <c r="R41" s="90">
        <f>-SUM(R42:R57)</f>
        <v>75296.36175877272</v>
      </c>
      <c r="S41" s="34">
        <f>SUM(P41:R41)</f>
        <v>129457.85878448113</v>
      </c>
    </row>
    <row r="42" spans="2:19" ht="12.5" thickBot="1" x14ac:dyDescent="0.35">
      <c r="D42" s="20">
        <f>+F10</f>
        <v>90</v>
      </c>
      <c r="E42" s="21" t="s">
        <v>21</v>
      </c>
      <c r="F42" s="35">
        <f>+P7</f>
        <v>0</v>
      </c>
      <c r="G42" s="22">
        <f>+K4</f>
        <v>256000</v>
      </c>
      <c r="H42" s="22">
        <f>-G42/365*(365-$D42)</f>
        <v>-192876.71232876711</v>
      </c>
      <c r="I42" s="36">
        <f t="shared" si="3"/>
        <v>63123.287671232887</v>
      </c>
      <c r="J42" s="21"/>
      <c r="K42" s="35">
        <f t="shared" si="4"/>
        <v>63123.287671232887</v>
      </c>
      <c r="L42" s="24">
        <f>+L4</f>
        <v>300000</v>
      </c>
      <c r="M42" s="22">
        <f>-L42/365*(365-$D42)-I42</f>
        <v>-289150.68493150687</v>
      </c>
      <c r="N42" s="36">
        <f t="shared" si="5"/>
        <v>73972.602739726019</v>
      </c>
      <c r="O42" s="21"/>
      <c r="P42" s="35">
        <f t="shared" si="6"/>
        <v>73972.602739726019</v>
      </c>
      <c r="Q42" s="22">
        <f>+M4</f>
        <v>380000</v>
      </c>
      <c r="R42" s="22">
        <f>-Q42/365*(365-$D42)-N42</f>
        <v>-360273.9726027397</v>
      </c>
      <c r="S42" s="36">
        <f t="shared" ref="S42:S57" si="7">SUM(P42:R42)</f>
        <v>93698.630136986321</v>
      </c>
    </row>
    <row r="43" spans="2:19" x14ac:dyDescent="0.3">
      <c r="B43" s="63" t="s">
        <v>80</v>
      </c>
      <c r="D43" s="20"/>
      <c r="E43" s="21" t="s">
        <v>60</v>
      </c>
      <c r="F43" s="20">
        <f>+P8</f>
        <v>0</v>
      </c>
      <c r="G43" s="29">
        <f>+K5/360*F13</f>
        <v>11520</v>
      </c>
      <c r="H43" s="22">
        <v>0</v>
      </c>
      <c r="I43" s="36">
        <f t="shared" si="3"/>
        <v>11520</v>
      </c>
      <c r="J43" s="21"/>
      <c r="K43" s="35">
        <f t="shared" si="4"/>
        <v>11520</v>
      </c>
      <c r="L43" s="29">
        <f>-I43+L5/365*F13</f>
        <v>1795.0684931506858</v>
      </c>
      <c r="M43" s="22" t="s">
        <v>48</v>
      </c>
      <c r="N43" s="36">
        <f t="shared" si="5"/>
        <v>13315.068493150686</v>
      </c>
      <c r="O43" s="21"/>
      <c r="P43" s="35">
        <f t="shared" si="6"/>
        <v>13315.068493150686</v>
      </c>
      <c r="Q43" s="29">
        <f>-N43+M5/365*F13</f>
        <v>3550.6849315068484</v>
      </c>
      <c r="R43" s="22" t="s">
        <v>48</v>
      </c>
      <c r="S43" s="36">
        <f t="shared" si="7"/>
        <v>16865.753424657534</v>
      </c>
    </row>
    <row r="44" spans="2:19" ht="12.5" thickBot="1" x14ac:dyDescent="0.35">
      <c r="B44" s="64" t="s">
        <v>81</v>
      </c>
      <c r="D44" s="20">
        <f>+F11</f>
        <v>90</v>
      </c>
      <c r="E44" s="21" t="s">
        <v>62</v>
      </c>
      <c r="F44" s="35">
        <f>-P14</f>
        <v>0</v>
      </c>
      <c r="G44" s="30">
        <f>-K5-G43</f>
        <v>-103680</v>
      </c>
      <c r="H44" s="22">
        <f>-G44/365*(365-D44)</f>
        <v>78115.068493150684</v>
      </c>
      <c r="I44" s="36">
        <f t="shared" si="3"/>
        <v>-25564.931506849316</v>
      </c>
      <c r="J44" s="21"/>
      <c r="K44" s="35">
        <f t="shared" si="4"/>
        <v>-25564.931506849316</v>
      </c>
      <c r="L44" s="30">
        <f>-L5-L43</f>
        <v>-109795.06849315068</v>
      </c>
      <c r="M44" s="22">
        <f>-L44/365*(365-$D44)-I44</f>
        <v>108287.24338525052</v>
      </c>
      <c r="N44" s="36">
        <f t="shared" si="5"/>
        <v>-27072.75661474948</v>
      </c>
      <c r="O44" s="21"/>
      <c r="P44" s="35">
        <f t="shared" si="6"/>
        <v>-27072.75661474948</v>
      </c>
      <c r="Q44" s="30">
        <f>-M5-Q43</f>
        <v>-140350.68493150684</v>
      </c>
      <c r="R44" s="22">
        <f>-Q44/365*(365-$D44)-N44</f>
        <v>132816.42334396695</v>
      </c>
      <c r="S44" s="36">
        <f>SUM(P44:R44)</f>
        <v>-34607.018202289357</v>
      </c>
    </row>
    <row r="45" spans="2:19" ht="12.5" thickBot="1" x14ac:dyDescent="0.35">
      <c r="D45" s="20">
        <v>0</v>
      </c>
      <c r="E45" s="21" t="s">
        <v>69</v>
      </c>
      <c r="F45" s="35"/>
      <c r="G45" s="31">
        <f>-C16</f>
        <v>-75000</v>
      </c>
      <c r="H45" s="22">
        <f>-G45</f>
        <v>75000</v>
      </c>
      <c r="I45" s="36">
        <f t="shared" si="3"/>
        <v>0</v>
      </c>
      <c r="J45" s="21"/>
      <c r="K45" s="35">
        <f t="shared" si="4"/>
        <v>0</v>
      </c>
      <c r="L45" s="31">
        <f>-C17</f>
        <v>-35000</v>
      </c>
      <c r="M45" s="22">
        <f>-L45</f>
        <v>35000</v>
      </c>
      <c r="N45" s="36">
        <f t="shared" si="5"/>
        <v>0</v>
      </c>
      <c r="O45" s="21"/>
      <c r="P45" s="35">
        <f t="shared" si="6"/>
        <v>0</v>
      </c>
      <c r="Q45" s="31">
        <f>-C18</f>
        <v>-10000</v>
      </c>
      <c r="R45" s="22">
        <f>-Q45</f>
        <v>10000</v>
      </c>
      <c r="S45" s="36">
        <f>SUM(P45:R45)</f>
        <v>0</v>
      </c>
    </row>
    <row r="46" spans="2:19" ht="12.5" thickBot="1" x14ac:dyDescent="0.35">
      <c r="B46" s="61" t="s">
        <v>78</v>
      </c>
      <c r="D46" s="20"/>
      <c r="E46" s="21" t="s">
        <v>70</v>
      </c>
      <c r="F46" s="35">
        <f>+P9</f>
        <v>0</v>
      </c>
      <c r="G46" s="32">
        <f>-G45</f>
        <v>75000</v>
      </c>
      <c r="H46" s="21">
        <v>0</v>
      </c>
      <c r="I46" s="36">
        <f t="shared" si="3"/>
        <v>75000</v>
      </c>
      <c r="J46" s="21"/>
      <c r="K46" s="35">
        <f t="shared" si="4"/>
        <v>75000</v>
      </c>
      <c r="L46" s="32">
        <f>-L45</f>
        <v>35000</v>
      </c>
      <c r="M46" s="22"/>
      <c r="N46" s="36">
        <f t="shared" si="5"/>
        <v>110000</v>
      </c>
      <c r="O46" s="21"/>
      <c r="P46" s="35">
        <f t="shared" si="6"/>
        <v>110000</v>
      </c>
      <c r="Q46" s="32">
        <f>-Q45</f>
        <v>10000</v>
      </c>
      <c r="R46" s="22"/>
      <c r="S46" s="36">
        <f t="shared" si="7"/>
        <v>120000</v>
      </c>
    </row>
    <row r="47" spans="2:19" ht="12.5" thickBot="1" x14ac:dyDescent="0.35">
      <c r="B47" s="62" t="s">
        <v>79</v>
      </c>
      <c r="D47" s="20"/>
      <c r="E47" s="21" t="s">
        <v>10</v>
      </c>
      <c r="F47" s="35"/>
      <c r="G47" s="22">
        <f>-K14</f>
        <v>-9375</v>
      </c>
      <c r="H47" s="21">
        <v>0</v>
      </c>
      <c r="I47" s="36">
        <f t="shared" si="3"/>
        <v>-9375</v>
      </c>
      <c r="J47" s="21"/>
      <c r="K47" s="35">
        <f t="shared" si="4"/>
        <v>-9375</v>
      </c>
      <c r="L47" s="24">
        <f>-L14</f>
        <v>-13750</v>
      </c>
      <c r="M47" s="22"/>
      <c r="N47" s="36">
        <f t="shared" si="5"/>
        <v>-23125</v>
      </c>
      <c r="O47" s="21"/>
      <c r="P47" s="35">
        <f t="shared" si="6"/>
        <v>-23125</v>
      </c>
      <c r="Q47" s="24">
        <f>-M14</f>
        <v>-15000</v>
      </c>
      <c r="R47" s="22"/>
      <c r="S47" s="36">
        <f t="shared" si="7"/>
        <v>-38125</v>
      </c>
    </row>
    <row r="48" spans="2:19" x14ac:dyDescent="0.3">
      <c r="D48" s="20">
        <f>+F12</f>
        <v>30</v>
      </c>
      <c r="E48" s="21" t="s">
        <v>63</v>
      </c>
      <c r="F48" s="35"/>
      <c r="G48" s="22">
        <f>-K7</f>
        <v>-17920</v>
      </c>
      <c r="H48" s="22">
        <f t="shared" ref="H48:H53" si="8">-G48/365*(365-D48)</f>
        <v>16447.123287671231</v>
      </c>
      <c r="I48" s="36">
        <f t="shared" si="3"/>
        <v>-1472.8767123287689</v>
      </c>
      <c r="J48" s="21"/>
      <c r="K48" s="35">
        <f t="shared" si="4"/>
        <v>-1472.8767123287689</v>
      </c>
      <c r="L48" s="24">
        <f>-L7</f>
        <v>-21000.000000000004</v>
      </c>
      <c r="M48" s="22">
        <f>-L48/365*(365-$D48)-I48</f>
        <v>20746.849315068499</v>
      </c>
      <c r="N48" s="36">
        <f t="shared" si="5"/>
        <v>-1726.0273972602736</v>
      </c>
      <c r="O48" s="21"/>
      <c r="P48" s="35">
        <f t="shared" si="6"/>
        <v>-1726.0273972602736</v>
      </c>
      <c r="Q48" s="24">
        <f>-M7</f>
        <v>-26600.000000000004</v>
      </c>
      <c r="R48" s="22">
        <f>-Q48/365*(365-$D48)-N48</f>
        <v>26139.726027397261</v>
      </c>
      <c r="S48" s="36">
        <f t="shared" si="7"/>
        <v>-2186.3013698630166</v>
      </c>
    </row>
    <row r="49" spans="2:19" x14ac:dyDescent="0.3">
      <c r="D49" s="20">
        <f>+F12</f>
        <v>30</v>
      </c>
      <c r="E49" s="21" t="s">
        <v>64</v>
      </c>
      <c r="F49" s="35"/>
      <c r="G49" s="22">
        <f>-K9</f>
        <v>-37800</v>
      </c>
      <c r="H49" s="22">
        <f t="shared" si="8"/>
        <v>34693.150684931505</v>
      </c>
      <c r="I49" s="36">
        <f t="shared" si="3"/>
        <v>-3106.8493150684953</v>
      </c>
      <c r="J49" s="21"/>
      <c r="K49" s="35">
        <f t="shared" si="4"/>
        <v>-3106.8493150684953</v>
      </c>
      <c r="L49" s="24">
        <f>-L9</f>
        <v>-38934</v>
      </c>
      <c r="M49" s="22">
        <f>-L49/365*(365-$D49)-I49</f>
        <v>38840.794520547948</v>
      </c>
      <c r="N49" s="36">
        <f t="shared" si="5"/>
        <v>-3200.0547945205471</v>
      </c>
      <c r="O49" s="21"/>
      <c r="P49" s="35">
        <f t="shared" si="6"/>
        <v>-3200.0547945205471</v>
      </c>
      <c r="Q49" s="22">
        <f>-M9</f>
        <v>-40102.020000000004</v>
      </c>
      <c r="R49" s="22">
        <f>-Q49/365*(365-$D49)-N49</f>
        <v>40006.018356164386</v>
      </c>
      <c r="S49" s="36">
        <f t="shared" si="7"/>
        <v>-3296.056438356165</v>
      </c>
    </row>
    <row r="50" spans="2:19" x14ac:dyDescent="0.3">
      <c r="D50" s="20">
        <f>+F12</f>
        <v>30</v>
      </c>
      <c r="E50" s="21" t="s">
        <v>65</v>
      </c>
      <c r="F50" s="35"/>
      <c r="G50" s="22">
        <f>-K10</f>
        <v>-23450</v>
      </c>
      <c r="H50" s="22">
        <f t="shared" si="8"/>
        <v>21522.602739726026</v>
      </c>
      <c r="I50" s="36">
        <f t="shared" si="3"/>
        <v>-1927.3972602739741</v>
      </c>
      <c r="J50" s="21"/>
      <c r="K50" s="35">
        <f t="shared" si="4"/>
        <v>-1927.3972602739741</v>
      </c>
      <c r="L50" s="24">
        <f>-L10</f>
        <v>-24153.5</v>
      </c>
      <c r="M50" s="22">
        <f>-L50/365*(365-$D50)-I50</f>
        <v>24095.678082191782</v>
      </c>
      <c r="N50" s="36">
        <f t="shared" si="5"/>
        <v>-1985.2191780821922</v>
      </c>
      <c r="O50" s="21"/>
      <c r="P50" s="35">
        <f t="shared" si="6"/>
        <v>-1985.2191780821922</v>
      </c>
      <c r="Q50" s="22">
        <f>-M10</f>
        <v>-24878.105</v>
      </c>
      <c r="R50" s="22">
        <f>-Q50/365*(365-$D50)-N50</f>
        <v>24818.548424657532</v>
      </c>
      <c r="S50" s="36">
        <f t="shared" si="7"/>
        <v>-2044.7757534246593</v>
      </c>
    </row>
    <row r="51" spans="2:19" x14ac:dyDescent="0.3">
      <c r="D51" s="20">
        <f>+F12</f>
        <v>30</v>
      </c>
      <c r="E51" s="21" t="s">
        <v>66</v>
      </c>
      <c r="F51" s="35"/>
      <c r="G51" s="22">
        <f>-K11</f>
        <v>-8000</v>
      </c>
      <c r="H51" s="22">
        <f t="shared" si="8"/>
        <v>7342.4657534246571</v>
      </c>
      <c r="I51" s="36">
        <f t="shared" si="3"/>
        <v>-657.53424657534288</v>
      </c>
      <c r="J51" s="21"/>
      <c r="K51" s="35">
        <f t="shared" si="4"/>
        <v>-657.53424657534288</v>
      </c>
      <c r="L51" s="24">
        <f>-L11</f>
        <v>-8240</v>
      </c>
      <c r="M51" s="22">
        <f>-L51/365*(365-$D51)-I51</f>
        <v>8220.2739726027394</v>
      </c>
      <c r="N51" s="36">
        <f t="shared" si="5"/>
        <v>-677.26027397260259</v>
      </c>
      <c r="O51" s="21"/>
      <c r="P51" s="35">
        <f t="shared" si="6"/>
        <v>-677.26027397260259</v>
      </c>
      <c r="Q51" s="22">
        <f>-M11</f>
        <v>-8487.2000000000007</v>
      </c>
      <c r="R51" s="22">
        <f>-Q51/365*(365-$D51)-N51</f>
        <v>8466.8821917808236</v>
      </c>
      <c r="S51" s="36">
        <f t="shared" si="7"/>
        <v>-697.57808219177969</v>
      </c>
    </row>
    <row r="52" spans="2:19" x14ac:dyDescent="0.3">
      <c r="D52" s="20">
        <v>0</v>
      </c>
      <c r="E52" s="21" t="s">
        <v>40</v>
      </c>
      <c r="F52" s="35"/>
      <c r="G52" s="22">
        <f>K16</f>
        <v>-2625.0000000000005</v>
      </c>
      <c r="H52" s="22">
        <f t="shared" si="8"/>
        <v>2625.0000000000005</v>
      </c>
      <c r="I52" s="36">
        <f t="shared" si="3"/>
        <v>0</v>
      </c>
      <c r="J52" s="21"/>
      <c r="K52" s="35">
        <f t="shared" si="4"/>
        <v>0</v>
      </c>
      <c r="L52" s="24">
        <f>+L16</f>
        <v>-1968.7500000000002</v>
      </c>
      <c r="M52" s="22">
        <f>-L52</f>
        <v>1968.7500000000002</v>
      </c>
      <c r="N52" s="36">
        <f t="shared" si="5"/>
        <v>0</v>
      </c>
      <c r="O52" s="21"/>
      <c r="P52" s="35">
        <f t="shared" si="6"/>
        <v>0</v>
      </c>
      <c r="Q52" s="22">
        <f>+M16</f>
        <v>-1312.5000000000002</v>
      </c>
      <c r="R52" s="22">
        <f>-Q52</f>
        <v>1312.5000000000002</v>
      </c>
      <c r="S52" s="36">
        <f t="shared" si="7"/>
        <v>0</v>
      </c>
    </row>
    <row r="53" spans="2:19" x14ac:dyDescent="0.3">
      <c r="D53" s="20">
        <v>365</v>
      </c>
      <c r="E53" s="21" t="s">
        <v>71</v>
      </c>
      <c r="F53" s="35"/>
      <c r="G53" s="22">
        <f>-K18</f>
        <v>-17460.900000000001</v>
      </c>
      <c r="H53" s="22">
        <f t="shared" si="8"/>
        <v>0</v>
      </c>
      <c r="I53" s="36">
        <f t="shared" si="3"/>
        <v>-17460.900000000001</v>
      </c>
      <c r="J53" s="21"/>
      <c r="K53" s="35">
        <f t="shared" si="4"/>
        <v>-17460.900000000001</v>
      </c>
      <c r="L53" s="22">
        <f>-L18</f>
        <v>-22667.512500000001</v>
      </c>
      <c r="M53" s="22">
        <f>-L53/365*(365-$D53)-I53</f>
        <v>17460.900000000001</v>
      </c>
      <c r="N53" s="36">
        <f t="shared" si="5"/>
        <v>-22667.512500000004</v>
      </c>
      <c r="O53" s="21"/>
      <c r="P53" s="35">
        <f t="shared" si="6"/>
        <v>-22667.512500000004</v>
      </c>
      <c r="Q53" s="22">
        <f>-M18</f>
        <v>-34241.447249999997</v>
      </c>
      <c r="R53" s="22">
        <f>-Q53/365*(365-$D53)-N53</f>
        <v>22667.512500000004</v>
      </c>
      <c r="S53" s="36">
        <f t="shared" si="7"/>
        <v>-34241.447249999997</v>
      </c>
    </row>
    <row r="54" spans="2:19" x14ac:dyDescent="0.3">
      <c r="D54" s="20"/>
      <c r="E54" s="21" t="s">
        <v>24</v>
      </c>
      <c r="F54" s="35">
        <f>-P16</f>
        <v>-75000</v>
      </c>
      <c r="G54" s="21"/>
      <c r="H54" s="22">
        <f>-F22</f>
        <v>18750</v>
      </c>
      <c r="I54" s="36">
        <f t="shared" si="3"/>
        <v>-56250</v>
      </c>
      <c r="J54" s="21"/>
      <c r="K54" s="35">
        <f t="shared" si="4"/>
        <v>-56250</v>
      </c>
      <c r="L54" s="22"/>
      <c r="M54" s="22">
        <f>-F23</f>
        <v>18750</v>
      </c>
      <c r="N54" s="36">
        <f t="shared" si="5"/>
        <v>-37500</v>
      </c>
      <c r="O54" s="21"/>
      <c r="P54" s="35">
        <f t="shared" si="6"/>
        <v>-37500</v>
      </c>
      <c r="Q54" s="22"/>
      <c r="R54" s="22">
        <f>-F24</f>
        <v>18750</v>
      </c>
      <c r="S54" s="36">
        <f t="shared" si="7"/>
        <v>-18750</v>
      </c>
    </row>
    <row r="55" spans="2:19" x14ac:dyDescent="0.3">
      <c r="D55" s="20"/>
      <c r="E55" s="21" t="s">
        <v>26</v>
      </c>
      <c r="F55" s="35">
        <f>-P19</f>
        <v>-25000</v>
      </c>
      <c r="G55" s="21"/>
      <c r="H55" s="21">
        <v>0</v>
      </c>
      <c r="I55" s="36">
        <f t="shared" si="3"/>
        <v>-25000</v>
      </c>
      <c r="J55" s="21"/>
      <c r="K55" s="35">
        <f t="shared" si="4"/>
        <v>-25000</v>
      </c>
      <c r="L55" s="22"/>
      <c r="M55" s="22"/>
      <c r="N55" s="36">
        <f t="shared" si="5"/>
        <v>-25000</v>
      </c>
      <c r="O55" s="21"/>
      <c r="P55" s="35">
        <f t="shared" si="6"/>
        <v>-25000</v>
      </c>
      <c r="Q55" s="22"/>
      <c r="R55" s="22"/>
      <c r="S55" s="36">
        <f t="shared" si="7"/>
        <v>-25000</v>
      </c>
    </row>
    <row r="56" spans="2:19" ht="12.5" thickBot="1" x14ac:dyDescent="0.35">
      <c r="D56" s="20"/>
      <c r="E56" s="21" t="s">
        <v>27</v>
      </c>
      <c r="F56" s="35">
        <f>-P20</f>
        <v>0</v>
      </c>
      <c r="G56" s="21"/>
      <c r="H56" s="21">
        <v>0</v>
      </c>
      <c r="I56" s="36">
        <f t="shared" si="3"/>
        <v>0</v>
      </c>
      <c r="J56" s="21"/>
      <c r="K56" s="35">
        <f t="shared" si="4"/>
        <v>0</v>
      </c>
      <c r="L56" s="22"/>
      <c r="M56" s="22">
        <f>-M57</f>
        <v>-47209.1</v>
      </c>
      <c r="N56" s="36">
        <f t="shared" si="5"/>
        <v>-47209.1</v>
      </c>
      <c r="O56" s="21"/>
      <c r="P56" s="35">
        <f t="shared" si="6"/>
        <v>-47209.1</v>
      </c>
      <c r="Q56" s="22"/>
      <c r="R56" s="22">
        <f>-R57</f>
        <v>-61286.237499999996</v>
      </c>
      <c r="S56" s="36">
        <f t="shared" si="7"/>
        <v>-108495.33749999999</v>
      </c>
    </row>
    <row r="57" spans="2:19" ht="12.5" thickBot="1" x14ac:dyDescent="0.35">
      <c r="D57" s="20"/>
      <c r="E57" s="21" t="s">
        <v>28</v>
      </c>
      <c r="F57" s="35">
        <f>-P21</f>
        <v>0</v>
      </c>
      <c r="G57" s="91">
        <f>-SUM(G41:G56)</f>
        <v>-47209.1</v>
      </c>
      <c r="H57" s="21">
        <v>0</v>
      </c>
      <c r="I57" s="36">
        <f t="shared" si="3"/>
        <v>-47209.1</v>
      </c>
      <c r="J57" s="21"/>
      <c r="K57" s="35">
        <f t="shared" si="4"/>
        <v>-47209.1</v>
      </c>
      <c r="L57" s="91">
        <f>-SUM(L41:L56)</f>
        <v>-61286.237500000003</v>
      </c>
      <c r="M57" s="22">
        <f>-K57</f>
        <v>47209.1</v>
      </c>
      <c r="N57" s="36">
        <f t="shared" si="5"/>
        <v>-61286.237499999996</v>
      </c>
      <c r="O57" s="21"/>
      <c r="P57" s="35">
        <f t="shared" si="6"/>
        <v>-61286.237499999996</v>
      </c>
      <c r="Q57" s="90">
        <f>-SUM(Q41:Q56)</f>
        <v>-92578.727750000035</v>
      </c>
      <c r="R57" s="22">
        <f>-P57</f>
        <v>61286.237499999996</v>
      </c>
      <c r="S57" s="36">
        <f t="shared" si="7"/>
        <v>-92578.727750000049</v>
      </c>
    </row>
    <row r="58" spans="2:19" ht="12.5" thickBot="1" x14ac:dyDescent="0.35">
      <c r="B58" s="89" t="s">
        <v>77</v>
      </c>
      <c r="D58" s="20"/>
      <c r="E58" s="21"/>
      <c r="F58" s="37">
        <f>SUM(F41:F57)</f>
        <v>0</v>
      </c>
      <c r="G58" s="16">
        <f>SUM(G41:G57)</f>
        <v>0</v>
      </c>
      <c r="H58" s="4">
        <f>SUM(H41:H57)</f>
        <v>-1.4551915228366852E-11</v>
      </c>
      <c r="I58" s="38">
        <f>SUM(I41:I57)</f>
        <v>0</v>
      </c>
      <c r="J58" s="21"/>
      <c r="K58" s="37">
        <f>SUM(K41:K57)</f>
        <v>0</v>
      </c>
      <c r="L58" s="4">
        <f>SUM(L41:L57)</f>
        <v>0</v>
      </c>
      <c r="M58" s="4">
        <f>SUM(M41:M57)</f>
        <v>0</v>
      </c>
      <c r="N58" s="38">
        <f>SUM(N41:N57)</f>
        <v>0</v>
      </c>
      <c r="O58" s="22"/>
      <c r="P58" s="37">
        <f>SUM(P41:P57)</f>
        <v>0</v>
      </c>
      <c r="Q58" s="4">
        <f>SUM(Q41:Q57)</f>
        <v>0</v>
      </c>
      <c r="R58" s="4">
        <f>SUM(R41:R57)</f>
        <v>0</v>
      </c>
      <c r="S58" s="38">
        <f>SUM(S41:S57)</f>
        <v>0</v>
      </c>
    </row>
    <row r="59" spans="2:19" ht="12.5" thickBot="1" x14ac:dyDescent="0.35">
      <c r="D59" s="25"/>
      <c r="E59" s="26"/>
      <c r="F59" s="25"/>
      <c r="G59" s="26"/>
      <c r="H59" s="26"/>
      <c r="I59" s="28"/>
      <c r="J59" s="26"/>
      <c r="K59" s="39"/>
      <c r="L59" s="27"/>
      <c r="M59" s="27"/>
      <c r="N59" s="40"/>
      <c r="O59" s="27"/>
      <c r="P59" s="39"/>
      <c r="Q59" s="27"/>
      <c r="R59" s="26"/>
      <c r="S59" s="28"/>
    </row>
    <row r="60" spans="2:19" x14ac:dyDescent="0.3">
      <c r="G60" s="1">
        <f>+G57+K19</f>
        <v>0</v>
      </c>
      <c r="L60" s="1">
        <f>+L57+L19</f>
        <v>0</v>
      </c>
    </row>
  </sheetData>
  <sheetProtection algorithmName="SHA-512" hashValue="/mxjiR0OMVXyY0RYAdkr7V1rKxKhaK7Iu6MhcTRs3OqWk93eZERcvbWmLhtB9XyUYFftYnUqB/vAxELsP3n4KQ==" saltValue="xYG6h4jmzJSl6z2RQDmxhw==" spinCount="100000" sheet="1" objects="1" scenarios="1"/>
  <mergeCells count="3">
    <mergeCell ref="B2:H2"/>
    <mergeCell ref="J2:S2"/>
    <mergeCell ref="D39:S3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zaffaroni</dc:creator>
  <cp:lastModifiedBy>guido zaffaroni</cp:lastModifiedBy>
  <cp:lastPrinted>2019-05-31T10:43:00Z</cp:lastPrinted>
  <dcterms:created xsi:type="dcterms:W3CDTF">2019-05-30T14:12:17Z</dcterms:created>
  <dcterms:modified xsi:type="dcterms:W3CDTF">2019-05-31T12:48:39Z</dcterms:modified>
</cp:coreProperties>
</file>